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24226"/>
  <xr:revisionPtr revIDLastSave="0" documentId="13_ncr:1_{9EA79FA2-07FB-4315-BF18-D313E35945EA}" xr6:coauthVersionLast="36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Português|Dados" sheetId="1" state="hidden" r:id="rId1"/>
    <sheet name="EBITDA &amp; DRE" sheetId="3" r:id="rId2"/>
    <sheet name="Fluxo Caixa_BP_Alavanc" sheetId="4" r:id="rId3"/>
  </sheets>
  <calcPr calcId="191029"/>
</workbook>
</file>

<file path=xl/calcChain.xml><?xml version="1.0" encoding="utf-8"?>
<calcChain xmlns="http://schemas.openxmlformats.org/spreadsheetml/2006/main">
  <c r="AP12" i="3" l="1"/>
  <c r="AD141" i="4"/>
  <c r="AD138" i="4"/>
  <c r="AD132" i="4"/>
  <c r="AD130" i="4"/>
  <c r="AD129" i="4"/>
  <c r="AD128" i="4"/>
  <c r="AD127" i="4"/>
  <c r="AD126" i="4"/>
  <c r="AD125" i="4"/>
  <c r="AD124" i="4"/>
  <c r="AD122" i="4"/>
  <c r="AD121" i="4"/>
  <c r="AD120" i="4"/>
  <c r="AD119" i="4"/>
  <c r="AD118" i="4"/>
  <c r="AD117" i="4"/>
  <c r="AD116" i="4"/>
  <c r="AD115" i="4"/>
  <c r="AD114" i="4"/>
  <c r="AD113" i="4"/>
  <c r="AD112" i="4"/>
  <c r="AD110" i="4"/>
  <c r="AD109" i="4"/>
  <c r="AD108" i="4"/>
  <c r="AD107" i="4"/>
  <c r="AD106" i="4"/>
  <c r="AD105" i="4"/>
  <c r="AD104" i="4"/>
  <c r="AD103" i="4"/>
  <c r="AD102" i="4"/>
  <c r="AD101" i="4"/>
  <c r="AD100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7" i="4"/>
  <c r="AD76" i="4"/>
  <c r="AD75" i="4"/>
  <c r="AD74" i="4"/>
  <c r="AD73" i="4"/>
  <c r="AD72" i="4"/>
  <c r="AD71" i="4"/>
  <c r="AD70" i="4"/>
  <c r="AD69" i="4"/>
  <c r="AD68" i="4" s="1"/>
  <c r="AL12" i="3" l="1"/>
  <c r="Y100" i="4" l="1"/>
  <c r="AB138" i="4"/>
  <c r="AB142" i="4" s="1"/>
  <c r="AA138" i="4"/>
  <c r="AA142" i="4" s="1"/>
  <c r="Z138" i="4"/>
  <c r="Z142" i="4" s="1"/>
  <c r="AC136" i="4"/>
  <c r="AC137" i="4" s="1"/>
  <c r="AB136" i="4"/>
  <c r="AB137" i="4" s="1"/>
  <c r="AA136" i="4"/>
  <c r="AA137" i="4" s="1"/>
  <c r="Z136" i="4"/>
  <c r="AC135" i="4"/>
  <c r="AB135" i="4"/>
  <c r="AA135" i="4"/>
  <c r="Z135" i="4"/>
  <c r="AC123" i="4"/>
  <c r="AC131" i="4" s="1"/>
  <c r="AB123" i="4"/>
  <c r="AB131" i="4" s="1"/>
  <c r="AA123" i="4"/>
  <c r="AA131" i="4" s="1"/>
  <c r="Z123" i="4"/>
  <c r="Z131" i="4" s="1"/>
  <c r="AD136" i="4"/>
  <c r="AC111" i="4"/>
  <c r="AB111" i="4"/>
  <c r="AA111" i="4"/>
  <c r="Z111" i="4"/>
  <c r="AD99" i="4"/>
  <c r="AC99" i="4"/>
  <c r="AB99" i="4"/>
  <c r="AA99" i="4"/>
  <c r="Z99" i="4"/>
  <c r="AC78" i="4"/>
  <c r="AB78" i="4"/>
  <c r="AA78" i="4"/>
  <c r="AA67" i="4" s="1"/>
  <c r="Z78" i="4"/>
  <c r="AD135" i="4"/>
  <c r="AC68" i="4"/>
  <c r="AC67" i="4" s="1"/>
  <c r="AB68" i="4"/>
  <c r="AA68" i="4"/>
  <c r="Z68" i="4"/>
  <c r="AB67" i="4"/>
  <c r="AD61" i="4"/>
  <c r="Z61" i="4"/>
  <c r="AC59" i="4"/>
  <c r="AB59" i="4"/>
  <c r="AA59" i="4"/>
  <c r="Z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C43" i="4"/>
  <c r="AB43" i="4"/>
  <c r="AA43" i="4"/>
  <c r="Z43" i="4"/>
  <c r="AD42" i="4"/>
  <c r="AD41" i="4"/>
  <c r="AD40" i="4"/>
  <c r="AD39" i="4"/>
  <c r="AD38" i="4"/>
  <c r="AD37" i="4"/>
  <c r="AC36" i="4"/>
  <c r="AB36" i="4"/>
  <c r="AA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C20" i="4"/>
  <c r="AB20" i="4"/>
  <c r="AA20" i="4"/>
  <c r="Z20" i="4"/>
  <c r="Z36" i="4" s="1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P19" i="3"/>
  <c r="AP18" i="3"/>
  <c r="AP17" i="3"/>
  <c r="AP16" i="3"/>
  <c r="AO12" i="3"/>
  <c r="AN12" i="3"/>
  <c r="AM12" i="3"/>
  <c r="AL9" i="3"/>
  <c r="AP39" i="3"/>
  <c r="AO37" i="3"/>
  <c r="AN37" i="3"/>
  <c r="AM37" i="3"/>
  <c r="AL37" i="3"/>
  <c r="AP36" i="3"/>
  <c r="AP35" i="3"/>
  <c r="AP34" i="3"/>
  <c r="AP32" i="3"/>
  <c r="AP31" i="3"/>
  <c r="AO30" i="3"/>
  <c r="AN30" i="3"/>
  <c r="AM30" i="3"/>
  <c r="AL30" i="3"/>
  <c r="AP29" i="3"/>
  <c r="AP28" i="3"/>
  <c r="AP27" i="3"/>
  <c r="AO25" i="3"/>
  <c r="AO26" i="3" s="1"/>
  <c r="AO33" i="3" s="1"/>
  <c r="AN25" i="3"/>
  <c r="AM25" i="3"/>
  <c r="AM26" i="3" s="1"/>
  <c r="AL25" i="3"/>
  <c r="AP24" i="3"/>
  <c r="AP23" i="3"/>
  <c r="AP22" i="3"/>
  <c r="AP21" i="3"/>
  <c r="AO20" i="3"/>
  <c r="AO8" i="3" s="1"/>
  <c r="AN20" i="3"/>
  <c r="AN11" i="3" s="1"/>
  <c r="AM20" i="3"/>
  <c r="AM11" i="3" s="1"/>
  <c r="AL20" i="3"/>
  <c r="AL11" i="3" s="1"/>
  <c r="AO13" i="3"/>
  <c r="AO11" i="3"/>
  <c r="AP10" i="3"/>
  <c r="AC138" i="4" s="1"/>
  <c r="AC142" i="4" s="1"/>
  <c r="AO9" i="3"/>
  <c r="AN9" i="3"/>
  <c r="AM9" i="3"/>
  <c r="AP7" i="3"/>
  <c r="Y141" i="4"/>
  <c r="Y138" i="4"/>
  <c r="X138" i="4"/>
  <c r="Z98" i="4" l="1"/>
  <c r="Z66" i="4" s="1"/>
  <c r="Z67" i="4"/>
  <c r="AD20" i="4"/>
  <c r="AC139" i="4"/>
  <c r="AA139" i="4"/>
  <c r="AB139" i="4"/>
  <c r="AP37" i="3"/>
  <c r="AC98" i="4"/>
  <c r="AD123" i="4"/>
  <c r="AD131" i="4" s="1"/>
  <c r="AB98" i="4"/>
  <c r="AB66" i="4" s="1"/>
  <c r="Z137" i="4"/>
  <c r="Z139" i="4" s="1"/>
  <c r="AD111" i="4"/>
  <c r="AC66" i="4"/>
  <c r="AA98" i="4"/>
  <c r="AA66" i="4" s="1"/>
  <c r="AD137" i="4"/>
  <c r="AD78" i="4"/>
  <c r="AD67" i="4" s="1"/>
  <c r="AD59" i="4"/>
  <c r="AD43" i="4"/>
  <c r="AA60" i="4"/>
  <c r="AB60" i="4"/>
  <c r="AD36" i="4"/>
  <c r="AD60" i="4" s="1"/>
  <c r="AD63" i="4" s="1"/>
  <c r="AC60" i="4"/>
  <c r="Z60" i="4"/>
  <c r="Z63" i="4" s="1"/>
  <c r="AA61" i="4" s="1"/>
  <c r="AD142" i="4"/>
  <c r="AN26" i="3"/>
  <c r="AN33" i="3" s="1"/>
  <c r="AN38" i="3" s="1"/>
  <c r="AN40" i="3" s="1"/>
  <c r="AN13" i="3"/>
  <c r="AO38" i="3"/>
  <c r="AO40" i="3" s="1"/>
  <c r="AM13" i="3"/>
  <c r="AL26" i="3"/>
  <c r="AL33" i="3" s="1"/>
  <c r="AL13" i="3"/>
  <c r="AM33" i="3"/>
  <c r="AM38" i="3" s="1"/>
  <c r="AM40" i="3" s="1"/>
  <c r="AL8" i="3"/>
  <c r="AP30" i="3"/>
  <c r="AM8" i="3"/>
  <c r="AP9" i="3"/>
  <c r="AP20" i="3"/>
  <c r="AP11" i="3" s="1"/>
  <c r="AP25" i="3"/>
  <c r="AN8" i="3"/>
  <c r="W135" i="4"/>
  <c r="Y128" i="4"/>
  <c r="Y127" i="4"/>
  <c r="Y126" i="4"/>
  <c r="Y125" i="4"/>
  <c r="Y124" i="4"/>
  <c r="Y121" i="4"/>
  <c r="Y120" i="4"/>
  <c r="Y118" i="4"/>
  <c r="Y115" i="4"/>
  <c r="Y108" i="4"/>
  <c r="Y106" i="4"/>
  <c r="Y96" i="4"/>
  <c r="Y95" i="4"/>
  <c r="Y91" i="4"/>
  <c r="Y90" i="4"/>
  <c r="Y89" i="4"/>
  <c r="Y88" i="4"/>
  <c r="Y81" i="4"/>
  <c r="Y80" i="4"/>
  <c r="Y72" i="4"/>
  <c r="Y71" i="4"/>
  <c r="Y70" i="4"/>
  <c r="Y132" i="4"/>
  <c r="Y130" i="4"/>
  <c r="Y129" i="4"/>
  <c r="Y122" i="4"/>
  <c r="Y119" i="4"/>
  <c r="Y117" i="4"/>
  <c r="Y116" i="4"/>
  <c r="Y114" i="4"/>
  <c r="Y113" i="4"/>
  <c r="Y112" i="4"/>
  <c r="Y110" i="4"/>
  <c r="Y109" i="4"/>
  <c r="Y107" i="4"/>
  <c r="Y105" i="4"/>
  <c r="Y104" i="4"/>
  <c r="Y103" i="4"/>
  <c r="Y102" i="4"/>
  <c r="Y101" i="4"/>
  <c r="Y97" i="4"/>
  <c r="Y94" i="4"/>
  <c r="Y93" i="4"/>
  <c r="Y92" i="4"/>
  <c r="Y87" i="4"/>
  <c r="Y86" i="4"/>
  <c r="Y85" i="4"/>
  <c r="Y84" i="4"/>
  <c r="Y83" i="4"/>
  <c r="Y82" i="4"/>
  <c r="Y79" i="4"/>
  <c r="Y77" i="4"/>
  <c r="Y76" i="4"/>
  <c r="Y75" i="4"/>
  <c r="Y74" i="4"/>
  <c r="Y73" i="4"/>
  <c r="X135" i="4"/>
  <c r="AD98" i="4" l="1"/>
  <c r="AD66" i="4" s="1"/>
  <c r="AA63" i="4"/>
  <c r="AB61" i="4" s="1"/>
  <c r="AB63" i="4" s="1"/>
  <c r="AC61" i="4" s="1"/>
  <c r="AC63" i="4" s="1"/>
  <c r="AD139" i="4"/>
  <c r="AP26" i="3"/>
  <c r="AP13" i="3"/>
  <c r="AL38" i="3"/>
  <c r="AP33" i="3"/>
  <c r="AP8" i="3"/>
  <c r="Y69" i="4"/>
  <c r="Y68" i="4" s="1"/>
  <c r="X136" i="4"/>
  <c r="Y111" i="4"/>
  <c r="AL40" i="3" l="1"/>
  <c r="AP40" i="3" s="1"/>
  <c r="AP38" i="3"/>
  <c r="AJ12" i="3"/>
  <c r="T141" i="4" l="1"/>
  <c r="O136" i="4"/>
  <c r="O135" i="4"/>
  <c r="O141" i="4"/>
  <c r="V135" i="4"/>
  <c r="U135" i="4"/>
  <c r="S135" i="4"/>
  <c r="T135" i="4" s="1"/>
  <c r="R135" i="4"/>
  <c r="Q135" i="4"/>
  <c r="P135" i="4"/>
  <c r="M135" i="4"/>
  <c r="L135" i="4"/>
  <c r="K135" i="4"/>
  <c r="J135" i="4"/>
  <c r="Y123" i="4" l="1"/>
  <c r="Y136" i="4"/>
  <c r="Y135" i="4" l="1"/>
  <c r="Y137" i="4" s="1"/>
  <c r="AI12" i="3" l="1"/>
  <c r="Y131" i="4" l="1"/>
  <c r="Y99" i="4"/>
  <c r="X68" i="4"/>
  <c r="W68" i="4"/>
  <c r="Y61" i="4"/>
  <c r="X59" i="4"/>
  <c r="Y58" i="4"/>
  <c r="Y57" i="4"/>
  <c r="Y55" i="4"/>
  <c r="Y54" i="4"/>
  <c r="Y53" i="4"/>
  <c r="Y52" i="4"/>
  <c r="Y51" i="4"/>
  <c r="Y50" i="4"/>
  <c r="Y49" i="4"/>
  <c r="Y48" i="4"/>
  <c r="Y47" i="4"/>
  <c r="Y45" i="4"/>
  <c r="Y44" i="4"/>
  <c r="Y40" i="4"/>
  <c r="Y30" i="4"/>
  <c r="Y18" i="4"/>
  <c r="Y17" i="4"/>
  <c r="V68" i="4"/>
  <c r="N77" i="4"/>
  <c r="Y78" i="4" l="1"/>
  <c r="Y67" i="4" s="1"/>
  <c r="Y98" i="4"/>
  <c r="Y66" i="4" l="1"/>
  <c r="T74" i="4" l="1"/>
  <c r="T73" i="4"/>
  <c r="T68" i="4" s="1"/>
  <c r="T67" i="4" s="1"/>
  <c r="T75" i="4"/>
  <c r="Y56" i="4"/>
  <c r="Y46" i="4"/>
  <c r="Y42" i="4"/>
  <c r="Y41" i="4"/>
  <c r="Y39" i="4"/>
  <c r="Y38" i="4"/>
  <c r="Y37" i="4"/>
  <c r="Y34" i="4"/>
  <c r="Y35" i="4"/>
  <c r="Y33" i="4"/>
  <c r="Y32" i="4"/>
  <c r="Y31" i="4"/>
  <c r="Y29" i="4"/>
  <c r="Y28" i="4"/>
  <c r="Y27" i="4"/>
  <c r="Y26" i="4"/>
  <c r="Y25" i="4"/>
  <c r="Y24" i="4"/>
  <c r="Y23" i="4"/>
  <c r="Y22" i="4"/>
  <c r="Y21" i="4"/>
  <c r="Y19" i="4"/>
  <c r="Y16" i="4"/>
  <c r="Y15" i="4"/>
  <c r="Y14" i="4"/>
  <c r="Y13" i="4"/>
  <c r="Y12" i="4"/>
  <c r="Y11" i="4"/>
  <c r="Y10" i="4"/>
  <c r="Y9" i="4"/>
  <c r="Y8" i="4"/>
  <c r="Y7" i="4"/>
  <c r="Y59" i="4" l="1"/>
  <c r="Y43" i="4"/>
  <c r="Y20" i="4"/>
  <c r="Y36" i="4" s="1"/>
  <c r="Y60" i="4" s="1"/>
  <c r="Y63" i="4" s="1"/>
  <c r="X142" i="4"/>
  <c r="W136" i="4"/>
  <c r="V136" i="4"/>
  <c r="U136" i="4"/>
  <c r="X123" i="4"/>
  <c r="X131" i="4" s="1"/>
  <c r="W123" i="4"/>
  <c r="W131" i="4" s="1"/>
  <c r="V123" i="4"/>
  <c r="V131" i="4" s="1"/>
  <c r="U123" i="4"/>
  <c r="U131" i="4" s="1"/>
  <c r="X111" i="4"/>
  <c r="W111" i="4"/>
  <c r="V111" i="4"/>
  <c r="U111" i="4"/>
  <c r="X99" i="4"/>
  <c r="W99" i="4"/>
  <c r="V99" i="4"/>
  <c r="U99" i="4"/>
  <c r="X78" i="4"/>
  <c r="X67" i="4" s="1"/>
  <c r="W78" i="4"/>
  <c r="V78" i="4"/>
  <c r="U78" i="4"/>
  <c r="U68" i="4"/>
  <c r="U61" i="4"/>
  <c r="W59" i="4"/>
  <c r="V59" i="4"/>
  <c r="U59" i="4"/>
  <c r="X43" i="4"/>
  <c r="W43" i="4"/>
  <c r="V43" i="4"/>
  <c r="U43" i="4"/>
  <c r="X20" i="4"/>
  <c r="X36" i="4" s="1"/>
  <c r="W20" i="4"/>
  <c r="W36" i="4" s="1"/>
  <c r="V20" i="4"/>
  <c r="V36" i="4" s="1"/>
  <c r="U20" i="4"/>
  <c r="U36" i="4" s="1"/>
  <c r="V137" i="4" l="1"/>
  <c r="U98" i="4"/>
  <c r="X98" i="4"/>
  <c r="X66" i="4" s="1"/>
  <c r="V98" i="4"/>
  <c r="W98" i="4"/>
  <c r="U137" i="4"/>
  <c r="X137" i="4"/>
  <c r="X139" i="4" s="1"/>
  <c r="W137" i="4"/>
  <c r="V67" i="4"/>
  <c r="W67" i="4"/>
  <c r="U67" i="4"/>
  <c r="W60" i="4"/>
  <c r="X60" i="4"/>
  <c r="V60" i="4"/>
  <c r="U60" i="4"/>
  <c r="U63" i="4" s="1"/>
  <c r="V61" i="4" s="1"/>
  <c r="AH12" i="3"/>
  <c r="AK7" i="3" l="1"/>
  <c r="AK10" i="3"/>
  <c r="AK12" i="3" s="1"/>
  <c r="W138" i="4"/>
  <c r="W142" i="4" s="1"/>
  <c r="V138" i="4"/>
  <c r="V142" i="4" s="1"/>
  <c r="U138" i="4"/>
  <c r="U142" i="4" s="1"/>
  <c r="AG12" i="3"/>
  <c r="V66" i="4"/>
  <c r="U66" i="4"/>
  <c r="W66" i="4"/>
  <c r="V63" i="4"/>
  <c r="W61" i="4" s="1"/>
  <c r="W63" i="4" s="1"/>
  <c r="X61" i="4" s="1"/>
  <c r="X63" i="4" s="1"/>
  <c r="AK9" i="3" l="1"/>
  <c r="V139" i="4"/>
  <c r="W139" i="4"/>
  <c r="Y142" i="4"/>
  <c r="Y139" i="4"/>
  <c r="U139" i="4"/>
  <c r="AK24" i="3"/>
  <c r="AK23" i="3"/>
  <c r="AK21" i="3"/>
  <c r="AK18" i="3"/>
  <c r="AK19" i="3"/>
  <c r="AK16" i="3"/>
  <c r="AK17" i="3" l="1"/>
  <c r="AK22" i="3"/>
  <c r="AK39" i="3"/>
  <c r="AJ37" i="3"/>
  <c r="AI37" i="3"/>
  <c r="AH37" i="3"/>
  <c r="AG37" i="3"/>
  <c r="AK36" i="3"/>
  <c r="AK35" i="3"/>
  <c r="AK34" i="3"/>
  <c r="AK32" i="3"/>
  <c r="AK31" i="3"/>
  <c r="AJ30" i="3"/>
  <c r="AI30" i="3"/>
  <c r="AH30" i="3"/>
  <c r="AG30" i="3"/>
  <c r="AK29" i="3"/>
  <c r="AK28" i="3"/>
  <c r="AK27" i="3"/>
  <c r="AJ25" i="3"/>
  <c r="AJ26" i="3" s="1"/>
  <c r="AI25" i="3"/>
  <c r="AH25" i="3"/>
  <c r="AG25" i="3"/>
  <c r="AJ20" i="3"/>
  <c r="AJ11" i="3" s="1"/>
  <c r="AI20" i="3"/>
  <c r="AI11" i="3" s="1"/>
  <c r="AH20" i="3"/>
  <c r="AH11" i="3" s="1"/>
  <c r="AG20" i="3"/>
  <c r="AG11" i="3" s="1"/>
  <c r="AJ9" i="3"/>
  <c r="AI9" i="3"/>
  <c r="AH9" i="3"/>
  <c r="AG9" i="3"/>
  <c r="AJ13" i="3" l="1"/>
  <c r="AK25" i="3"/>
  <c r="AK37" i="3"/>
  <c r="AK30" i="3"/>
  <c r="AH26" i="3"/>
  <c r="AH33" i="3" s="1"/>
  <c r="AH38" i="3" s="1"/>
  <c r="AH40" i="3" s="1"/>
  <c r="AH8" i="3"/>
  <c r="AH13" i="3"/>
  <c r="AG13" i="3"/>
  <c r="AG8" i="3"/>
  <c r="AI26" i="3"/>
  <c r="AI33" i="3" s="1"/>
  <c r="AI38" i="3" s="1"/>
  <c r="AI40" i="3" s="1"/>
  <c r="AG26" i="3"/>
  <c r="AI13" i="3"/>
  <c r="AJ33" i="3"/>
  <c r="AJ38" i="3" s="1"/>
  <c r="AJ40" i="3" s="1"/>
  <c r="AK20" i="3"/>
  <c r="AJ8" i="3"/>
  <c r="AI8" i="3"/>
  <c r="AE12" i="3"/>
  <c r="AD12" i="3"/>
  <c r="AC12" i="3"/>
  <c r="AK11" i="3" l="1"/>
  <c r="AK8" i="3"/>
  <c r="AK13" i="3"/>
  <c r="AK26" i="3"/>
  <c r="AG33" i="3"/>
  <c r="AK33" i="3" s="1"/>
  <c r="S123" i="4"/>
  <c r="S131" i="4" s="1"/>
  <c r="S43" i="4"/>
  <c r="S20" i="4"/>
  <c r="AG38" i="3" l="1"/>
  <c r="AG40" i="3" s="1"/>
  <c r="AK40" i="3" s="1"/>
  <c r="Z10" i="3"/>
  <c r="AE37" i="3"/>
  <c r="AE38" i="3" s="1"/>
  <c r="AE40" i="3" s="1"/>
  <c r="AE33" i="3"/>
  <c r="AE30" i="3"/>
  <c r="AE26" i="3"/>
  <c r="AE25" i="3"/>
  <c r="AE20" i="3"/>
  <c r="AE11" i="3" s="1"/>
  <c r="AF7" i="3"/>
  <c r="AE9" i="3"/>
  <c r="AE8" i="3"/>
  <c r="AK38" i="3" l="1"/>
  <c r="AE13" i="3"/>
  <c r="R138" i="4" l="1"/>
  <c r="R20" i="4"/>
  <c r="AD37" i="3" l="1"/>
  <c r="AD30" i="3"/>
  <c r="AD8" i="3"/>
  <c r="AD13" i="3"/>
  <c r="AD11" i="3"/>
  <c r="AD26" i="3"/>
  <c r="AD33" i="3" s="1"/>
  <c r="AD25" i="3"/>
  <c r="AD20" i="3"/>
  <c r="AD38" i="3" l="1"/>
  <c r="AD40" i="3" s="1"/>
  <c r="AD9" i="3"/>
  <c r="S136" i="4" l="1"/>
  <c r="T136" i="4" s="1"/>
  <c r="T137" i="4" s="1"/>
  <c r="S111" i="4"/>
  <c r="S99" i="4"/>
  <c r="S78" i="4"/>
  <c r="S68" i="4"/>
  <c r="S59" i="4"/>
  <c r="R43" i="4"/>
  <c r="S98" i="4" l="1"/>
  <c r="S67" i="4"/>
  <c r="S137" i="4"/>
  <c r="N56" i="4" l="1"/>
  <c r="L56" i="4"/>
  <c r="M56" i="4" s="1"/>
  <c r="Q20" i="4" l="1"/>
  <c r="Q138" i="4" l="1"/>
  <c r="Q142" i="4" s="1"/>
  <c r="N118" i="4" l="1"/>
  <c r="L30" i="4" l="1"/>
  <c r="P20" i="4"/>
  <c r="P36" i="4" s="1"/>
  <c r="R136" i="4"/>
  <c r="Q136" i="4"/>
  <c r="P136" i="4"/>
  <c r="R123" i="4"/>
  <c r="R131" i="4" s="1"/>
  <c r="Q123" i="4"/>
  <c r="Q131" i="4" s="1"/>
  <c r="P123" i="4"/>
  <c r="P131" i="4" s="1"/>
  <c r="R111" i="4"/>
  <c r="Q111" i="4"/>
  <c r="P111" i="4"/>
  <c r="R99" i="4"/>
  <c r="Q99" i="4"/>
  <c r="P99" i="4"/>
  <c r="R78" i="4"/>
  <c r="Q78" i="4"/>
  <c r="P78" i="4"/>
  <c r="R68" i="4"/>
  <c r="Q68" i="4"/>
  <c r="P68" i="4"/>
  <c r="P59" i="4"/>
  <c r="Q59" i="4"/>
  <c r="P43" i="4"/>
  <c r="Q43" i="4"/>
  <c r="S36" i="4"/>
  <c r="S60" i="4" s="1"/>
  <c r="AB12" i="3"/>
  <c r="AF10" i="3"/>
  <c r="AF39" i="3"/>
  <c r="AC37" i="3"/>
  <c r="AF36" i="3"/>
  <c r="AF35" i="3"/>
  <c r="AF34" i="3"/>
  <c r="AF32" i="3"/>
  <c r="AF31" i="3"/>
  <c r="AC30" i="3"/>
  <c r="AB30" i="3"/>
  <c r="AF29" i="3"/>
  <c r="AF28" i="3"/>
  <c r="AF27" i="3"/>
  <c r="AC25" i="3"/>
  <c r="AC26" i="3" s="1"/>
  <c r="AB25" i="3"/>
  <c r="AF24" i="3"/>
  <c r="AF23" i="3"/>
  <c r="AF22" i="3"/>
  <c r="AF21" i="3"/>
  <c r="AC20" i="3"/>
  <c r="AC8" i="3" s="1"/>
  <c r="AB20" i="3"/>
  <c r="AF19" i="3"/>
  <c r="AF18" i="3"/>
  <c r="AF17" i="3"/>
  <c r="AF16" i="3"/>
  <c r="S138" i="4" l="1"/>
  <c r="AF12" i="3"/>
  <c r="AF20" i="3"/>
  <c r="AC11" i="3"/>
  <c r="AC13" i="3"/>
  <c r="Q67" i="4"/>
  <c r="R67" i="4"/>
  <c r="P67" i="4"/>
  <c r="R137" i="4"/>
  <c r="T66" i="4"/>
  <c r="Q98" i="4"/>
  <c r="Q137" i="4"/>
  <c r="R98" i="4"/>
  <c r="P98" i="4"/>
  <c r="P137" i="4"/>
  <c r="P60" i="4"/>
  <c r="R36" i="4"/>
  <c r="Q36" i="4"/>
  <c r="Q60" i="4" s="1"/>
  <c r="R59" i="4"/>
  <c r="AC9" i="3"/>
  <c r="AB26" i="3"/>
  <c r="AB33" i="3" s="1"/>
  <c r="AB13" i="3"/>
  <c r="AC33" i="3"/>
  <c r="AC38" i="3" s="1"/>
  <c r="AC40" i="3" s="1"/>
  <c r="AB9" i="3"/>
  <c r="AB37" i="3"/>
  <c r="AB11" i="3"/>
  <c r="AF25" i="3"/>
  <c r="AF30" i="3"/>
  <c r="M126" i="4"/>
  <c r="M125" i="4"/>
  <c r="S139" i="4" l="1"/>
  <c r="S142" i="4" s="1"/>
  <c r="T138" i="4"/>
  <c r="R142" i="4"/>
  <c r="R139" i="4"/>
  <c r="R66" i="4"/>
  <c r="Q139" i="4"/>
  <c r="Q66" i="4"/>
  <c r="S66" i="4"/>
  <c r="P66" i="4"/>
  <c r="R60" i="4"/>
  <c r="AF26" i="3"/>
  <c r="AB8" i="3"/>
  <c r="AF33" i="3"/>
  <c r="AB38" i="3"/>
  <c r="AF37" i="3"/>
  <c r="AF13" i="3"/>
  <c r="AF11" i="3"/>
  <c r="N55" i="4"/>
  <c r="N54" i="4"/>
  <c r="N40" i="4"/>
  <c r="N14" i="4"/>
  <c r="D20" i="4"/>
  <c r="D36" i="4" s="1"/>
  <c r="E20" i="4"/>
  <c r="E36" i="4" s="1"/>
  <c r="F20" i="4"/>
  <c r="F36" i="4" s="1"/>
  <c r="G20" i="4"/>
  <c r="G36" i="4" s="1"/>
  <c r="H20" i="4"/>
  <c r="H36" i="4" s="1"/>
  <c r="I20" i="4"/>
  <c r="I36" i="4" s="1"/>
  <c r="J20" i="4"/>
  <c r="J36" i="4" s="1"/>
  <c r="O20" i="4"/>
  <c r="O36" i="4" s="1"/>
  <c r="K20" i="4"/>
  <c r="K36" i="4" s="1"/>
  <c r="C20" i="4"/>
  <c r="C36" i="4" s="1"/>
  <c r="T142" i="4" l="1"/>
  <c r="T139" i="4"/>
  <c r="AF8" i="3"/>
  <c r="AF9" i="3"/>
  <c r="AF38" i="3"/>
  <c r="AB40" i="3"/>
  <c r="AF40" i="3" s="1"/>
  <c r="N128" i="4"/>
  <c r="N125" i="4"/>
  <c r="N126" i="4"/>
  <c r="N83" i="4"/>
  <c r="Z31" i="3" l="1"/>
  <c r="AA31" i="3" s="1"/>
  <c r="Z39" i="3"/>
  <c r="AA39" i="3" s="1"/>
  <c r="Z25" i="3"/>
  <c r="Z30" i="3"/>
  <c r="Z37" i="3"/>
  <c r="AA34" i="3"/>
  <c r="AA32" i="3"/>
  <c r="AA29" i="3"/>
  <c r="AA28" i="3"/>
  <c r="AA27" i="3"/>
  <c r="AA24" i="3"/>
  <c r="AA23" i="3"/>
  <c r="AA22" i="3"/>
  <c r="AA21" i="3"/>
  <c r="Z19" i="3"/>
  <c r="AA19" i="3" s="1"/>
  <c r="Z18" i="3"/>
  <c r="AA18" i="3" s="1"/>
  <c r="Z17" i="3"/>
  <c r="AA17" i="3" s="1"/>
  <c r="Z16" i="3"/>
  <c r="Z12" i="3" l="1"/>
  <c r="P138" i="4"/>
  <c r="Z20" i="3"/>
  <c r="AA16" i="3"/>
  <c r="Z26" i="3"/>
  <c r="Z13" i="3" l="1"/>
  <c r="P139" i="4"/>
  <c r="P142" i="4"/>
  <c r="Z33" i="3"/>
  <c r="Z38" i="3" l="1"/>
  <c r="Z7" i="3"/>
  <c r="Z40" i="3" l="1"/>
  <c r="Z11" i="3"/>
  <c r="AA10" i="3"/>
  <c r="AA12" i="3" s="1"/>
  <c r="Z9" i="3"/>
  <c r="Z8" i="3"/>
  <c r="N132" i="4"/>
  <c r="N130" i="4"/>
  <c r="N129" i="4"/>
  <c r="N127" i="4"/>
  <c r="N124" i="4"/>
  <c r="N122" i="4"/>
  <c r="N121" i="4"/>
  <c r="N120" i="4"/>
  <c r="N119" i="4"/>
  <c r="N117" i="4"/>
  <c r="N116" i="4"/>
  <c r="N115" i="4"/>
  <c r="N114" i="4"/>
  <c r="N113" i="4"/>
  <c r="N112" i="4"/>
  <c r="N110" i="4"/>
  <c r="N109" i="4"/>
  <c r="N108" i="4"/>
  <c r="N107" i="4"/>
  <c r="N106" i="4"/>
  <c r="N105" i="4"/>
  <c r="N104" i="4"/>
  <c r="N103" i="4"/>
  <c r="N102" i="4"/>
  <c r="N101" i="4"/>
  <c r="N100" i="4"/>
  <c r="N97" i="4"/>
  <c r="N96" i="4"/>
  <c r="N94" i="4"/>
  <c r="N93" i="4"/>
  <c r="N92" i="4"/>
  <c r="N91" i="4"/>
  <c r="N89" i="4"/>
  <c r="N88" i="4"/>
  <c r="N87" i="4"/>
  <c r="N86" i="4"/>
  <c r="N85" i="4"/>
  <c r="N84" i="4"/>
  <c r="N82" i="4"/>
  <c r="N81" i="4"/>
  <c r="N80" i="4"/>
  <c r="N79" i="4"/>
  <c r="N76" i="4"/>
  <c r="N75" i="4"/>
  <c r="N74" i="4"/>
  <c r="N73" i="4"/>
  <c r="N72" i="4"/>
  <c r="N71" i="4"/>
  <c r="N70" i="4"/>
  <c r="N69" i="4"/>
  <c r="N62" i="4"/>
  <c r="N53" i="4"/>
  <c r="N52" i="4"/>
  <c r="N51" i="4"/>
  <c r="N50" i="4"/>
  <c r="N46" i="4"/>
  <c r="N42" i="4"/>
  <c r="N41" i="4"/>
  <c r="N39" i="4"/>
  <c r="N38" i="4"/>
  <c r="N37" i="4"/>
  <c r="N35" i="4"/>
  <c r="N30" i="4"/>
  <c r="N32" i="4"/>
  <c r="N31" i="4"/>
  <c r="N29" i="4"/>
  <c r="N28" i="4"/>
  <c r="N27" i="4"/>
  <c r="N26" i="4"/>
  <c r="N25" i="4"/>
  <c r="N24" i="4"/>
  <c r="N23" i="4"/>
  <c r="N22" i="4"/>
  <c r="N21" i="4"/>
  <c r="N19" i="4"/>
  <c r="N18" i="4"/>
  <c r="N17" i="4"/>
  <c r="N16" i="4"/>
  <c r="N15" i="4"/>
  <c r="N13" i="4"/>
  <c r="N12" i="4"/>
  <c r="N11" i="4"/>
  <c r="N10" i="4"/>
  <c r="N9" i="4"/>
  <c r="N8" i="4"/>
  <c r="N7" i="4"/>
  <c r="O43" i="4"/>
  <c r="N43" i="4" s="1"/>
  <c r="O59" i="4"/>
  <c r="N59" i="4" s="1"/>
  <c r="O68" i="4"/>
  <c r="O78" i="4"/>
  <c r="N78" i="4" s="1"/>
  <c r="O99" i="4"/>
  <c r="N99" i="4" s="1"/>
  <c r="O111" i="4"/>
  <c r="N111" i="4" s="1"/>
  <c r="O123" i="4"/>
  <c r="O131" i="4" s="1"/>
  <c r="N131" i="4" s="1"/>
  <c r="N135" i="4"/>
  <c r="N136" i="4"/>
  <c r="O138" i="4" l="1"/>
  <c r="N138" i="4" s="1"/>
  <c r="N20" i="4"/>
  <c r="N36" i="4" s="1"/>
  <c r="O67" i="4"/>
  <c r="N67" i="4" s="1"/>
  <c r="N68" i="4"/>
  <c r="O137" i="4"/>
  <c r="N123" i="4"/>
  <c r="O60" i="4"/>
  <c r="O98" i="4"/>
  <c r="N98" i="4" s="1"/>
  <c r="N66" i="4" s="1"/>
  <c r="T12" i="3"/>
  <c r="Y12" i="3"/>
  <c r="S12" i="3"/>
  <c r="X12" i="3"/>
  <c r="O139" i="4" l="1"/>
  <c r="N139" i="4" s="1"/>
  <c r="N60" i="4"/>
  <c r="N137" i="4"/>
  <c r="N142" i="4" s="1"/>
  <c r="R12" i="3"/>
  <c r="W12" i="3"/>
  <c r="W36" i="3" l="1"/>
  <c r="AA36" i="3" s="1"/>
  <c r="W35" i="3"/>
  <c r="AA35" i="3" s="1"/>
  <c r="D135" i="4" l="1"/>
  <c r="E135" i="4"/>
  <c r="F135" i="4"/>
  <c r="G135" i="4"/>
  <c r="H135" i="4"/>
  <c r="I135" i="4"/>
  <c r="C135" i="4"/>
  <c r="K43" i="4" l="1"/>
  <c r="D43" i="4"/>
  <c r="E43" i="4"/>
  <c r="F43" i="4"/>
  <c r="G43" i="4"/>
  <c r="H43" i="4"/>
  <c r="I43" i="4"/>
  <c r="J43" i="4"/>
  <c r="C43" i="4"/>
  <c r="M10" i="4"/>
  <c r="L35" i="4"/>
  <c r="M35" i="4" s="1"/>
  <c r="L53" i="4"/>
  <c r="M53" i="4" s="1"/>
  <c r="L52" i="4"/>
  <c r="M52" i="4" s="1"/>
  <c r="L46" i="4"/>
  <c r="L38" i="4"/>
  <c r="M38" i="4" s="1"/>
  <c r="L41" i="4"/>
  <c r="M41" i="4" s="1"/>
  <c r="L39" i="4"/>
  <c r="L37" i="4"/>
  <c r="M37" i="4" s="1"/>
  <c r="M30" i="4"/>
  <c r="L32" i="4"/>
  <c r="M32" i="4" s="1"/>
  <c r="L31" i="4"/>
  <c r="M31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L19" i="4"/>
  <c r="M19" i="4" s="1"/>
  <c r="L17" i="4"/>
  <c r="L16" i="4"/>
  <c r="M16" i="4" s="1"/>
  <c r="L15" i="4"/>
  <c r="M15" i="4" s="1"/>
  <c r="L13" i="4"/>
  <c r="M13" i="4" s="1"/>
  <c r="L12" i="4"/>
  <c r="M12" i="4" s="1"/>
  <c r="L11" i="4"/>
  <c r="M11" i="4" s="1"/>
  <c r="L9" i="4"/>
  <c r="M9" i="4" s="1"/>
  <c r="L8" i="4"/>
  <c r="M8" i="4" s="1"/>
  <c r="L7" i="4"/>
  <c r="X20" i="3"/>
  <c r="X7" i="3" s="1"/>
  <c r="X9" i="3" s="1"/>
  <c r="Y20" i="3"/>
  <c r="Y7" i="3" s="1"/>
  <c r="Y9" i="3" s="1"/>
  <c r="X25" i="3"/>
  <c r="X26" i="3" s="1"/>
  <c r="Y25" i="3"/>
  <c r="X30" i="3"/>
  <c r="Y30" i="3"/>
  <c r="X37" i="3"/>
  <c r="Y37" i="3"/>
  <c r="M136" i="4"/>
  <c r="M137" i="4" s="1"/>
  <c r="L136" i="4"/>
  <c r="L137" i="4" s="1"/>
  <c r="K136" i="4"/>
  <c r="K137" i="4" s="1"/>
  <c r="F136" i="4"/>
  <c r="F137" i="4" s="1"/>
  <c r="G136" i="4"/>
  <c r="G137" i="4" s="1"/>
  <c r="H136" i="4"/>
  <c r="H137" i="4" s="1"/>
  <c r="I136" i="4"/>
  <c r="I137" i="4" s="1"/>
  <c r="J136" i="4"/>
  <c r="J137" i="4" s="1"/>
  <c r="L68" i="4"/>
  <c r="M68" i="4"/>
  <c r="L78" i="4"/>
  <c r="M78" i="4"/>
  <c r="L99" i="4"/>
  <c r="M99" i="4"/>
  <c r="L111" i="4"/>
  <c r="M111" i="4"/>
  <c r="L123" i="4"/>
  <c r="L131" i="4" s="1"/>
  <c r="M123" i="4"/>
  <c r="M131" i="4" s="1"/>
  <c r="M98" i="4" l="1"/>
  <c r="M21" i="4"/>
  <c r="M20" i="4" s="1"/>
  <c r="L20" i="4"/>
  <c r="L36" i="4" s="1"/>
  <c r="M7" i="4"/>
  <c r="M36" i="4" s="1"/>
  <c r="L59" i="4"/>
  <c r="L43" i="4"/>
  <c r="M46" i="4"/>
  <c r="M59" i="4" s="1"/>
  <c r="M39" i="4"/>
  <c r="M43" i="4" s="1"/>
  <c r="X33" i="3"/>
  <c r="X38" i="3" s="1"/>
  <c r="X40" i="3" s="1"/>
  <c r="Y26" i="3"/>
  <c r="Y33" i="3" s="1"/>
  <c r="Y38" i="3" s="1"/>
  <c r="Y40" i="3" s="1"/>
  <c r="Y8" i="3"/>
  <c r="X8" i="3"/>
  <c r="L98" i="4"/>
  <c r="L67" i="4"/>
  <c r="M67" i="4"/>
  <c r="K123" i="4"/>
  <c r="K131" i="4" s="1"/>
  <c r="J123" i="4"/>
  <c r="J131" i="4" s="1"/>
  <c r="I123" i="4"/>
  <c r="I131" i="4" s="1"/>
  <c r="H123" i="4"/>
  <c r="H131" i="4" s="1"/>
  <c r="G123" i="4"/>
  <c r="G131" i="4" s="1"/>
  <c r="F123" i="4"/>
  <c r="F131" i="4" s="1"/>
  <c r="E123" i="4"/>
  <c r="E131" i="4" s="1"/>
  <c r="D123" i="4"/>
  <c r="D131" i="4" s="1"/>
  <c r="C123" i="4"/>
  <c r="C131" i="4" s="1"/>
  <c r="K111" i="4"/>
  <c r="J111" i="4"/>
  <c r="I111" i="4"/>
  <c r="H111" i="4"/>
  <c r="G111" i="4"/>
  <c r="F111" i="4"/>
  <c r="E111" i="4"/>
  <c r="D111" i="4"/>
  <c r="C111" i="4"/>
  <c r="E102" i="4"/>
  <c r="E136" i="4" s="1"/>
  <c r="E137" i="4" s="1"/>
  <c r="D102" i="4"/>
  <c r="D136" i="4" s="1"/>
  <c r="D137" i="4" s="1"/>
  <c r="C102" i="4"/>
  <c r="K99" i="4"/>
  <c r="J99" i="4"/>
  <c r="I99" i="4"/>
  <c r="H99" i="4"/>
  <c r="G99" i="4"/>
  <c r="F99" i="4"/>
  <c r="F82" i="4"/>
  <c r="F78" i="4" s="1"/>
  <c r="K78" i="4"/>
  <c r="J78" i="4"/>
  <c r="I78" i="4"/>
  <c r="H78" i="4"/>
  <c r="G78" i="4"/>
  <c r="E78" i="4"/>
  <c r="D78" i="4"/>
  <c r="C78" i="4"/>
  <c r="F76" i="4"/>
  <c r="F68" i="4" s="1"/>
  <c r="K68" i="4"/>
  <c r="J68" i="4"/>
  <c r="I68" i="4"/>
  <c r="H68" i="4"/>
  <c r="G68" i="4"/>
  <c r="E68" i="4"/>
  <c r="D68" i="4"/>
  <c r="C68" i="4"/>
  <c r="G62" i="4"/>
  <c r="K59" i="4"/>
  <c r="J59" i="4"/>
  <c r="I59" i="4"/>
  <c r="H59" i="4"/>
  <c r="G59" i="4"/>
  <c r="F59" i="4"/>
  <c r="E59" i="4"/>
  <c r="D59" i="4"/>
  <c r="C59" i="4"/>
  <c r="L60" i="4" l="1"/>
  <c r="M60" i="4"/>
  <c r="X11" i="3"/>
  <c r="X13" i="3"/>
  <c r="Y11" i="3"/>
  <c r="Y13" i="3"/>
  <c r="C67" i="4"/>
  <c r="F98" i="4"/>
  <c r="J98" i="4"/>
  <c r="M66" i="4"/>
  <c r="C99" i="4"/>
  <c r="C98" i="4" s="1"/>
  <c r="C136" i="4"/>
  <c r="C137" i="4" s="1"/>
  <c r="L66" i="4"/>
  <c r="H67" i="4"/>
  <c r="D67" i="4"/>
  <c r="K98" i="4"/>
  <c r="F67" i="4"/>
  <c r="G98" i="4"/>
  <c r="H98" i="4"/>
  <c r="E99" i="4"/>
  <c r="E98" i="4" s="1"/>
  <c r="D99" i="4"/>
  <c r="D98" i="4" s="1"/>
  <c r="G67" i="4"/>
  <c r="K67" i="4"/>
  <c r="E67" i="4"/>
  <c r="I67" i="4"/>
  <c r="I98" i="4"/>
  <c r="J67" i="4"/>
  <c r="E60" i="4"/>
  <c r="F60" i="4"/>
  <c r="K66" i="4" l="1"/>
  <c r="C60" i="4"/>
  <c r="C63" i="4" s="1"/>
  <c r="D61" i="4" s="1"/>
  <c r="G60" i="4"/>
  <c r="H60" i="4"/>
  <c r="K60" i="4"/>
  <c r="D60" i="4"/>
  <c r="D63" i="4" l="1"/>
  <c r="E61" i="4" s="1"/>
  <c r="E63" i="4" s="1"/>
  <c r="F61" i="4" s="1"/>
  <c r="F63" i="4" s="1"/>
  <c r="G61" i="4" s="1"/>
  <c r="G63" i="4" s="1"/>
  <c r="H61" i="4" s="1"/>
  <c r="H63" i="4" s="1"/>
  <c r="I61" i="4" s="1"/>
  <c r="J60" i="4"/>
  <c r="I60" i="4"/>
  <c r="L9" i="3"/>
  <c r="Q9" i="3"/>
  <c r="I63" i="4" l="1"/>
  <c r="J61" i="4" l="1"/>
  <c r="J63" i="4" s="1"/>
  <c r="L39" i="3"/>
  <c r="L36" i="3"/>
  <c r="L35" i="3"/>
  <c r="L34" i="3"/>
  <c r="L32" i="3"/>
  <c r="L31" i="3"/>
  <c r="L29" i="3"/>
  <c r="L28" i="3"/>
  <c r="L27" i="3"/>
  <c r="L24" i="3"/>
  <c r="L23" i="3"/>
  <c r="L22" i="3"/>
  <c r="L21" i="3"/>
  <c r="L19" i="3"/>
  <c r="L18" i="3"/>
  <c r="L17" i="3"/>
  <c r="L16" i="3"/>
  <c r="K61" i="4" l="1"/>
  <c r="K63" i="4" s="1"/>
  <c r="L61" i="4" s="1"/>
  <c r="L63" i="4" s="1"/>
  <c r="M61" i="4" s="1"/>
  <c r="M63" i="4" s="1"/>
  <c r="N61" i="4" s="1"/>
  <c r="O61" i="4"/>
  <c r="K37" i="3"/>
  <c r="J37" i="3"/>
  <c r="I37" i="3"/>
  <c r="H37" i="3"/>
  <c r="K30" i="3"/>
  <c r="J30" i="3"/>
  <c r="I30" i="3"/>
  <c r="H30" i="3"/>
  <c r="K25" i="3"/>
  <c r="J25" i="3"/>
  <c r="I25" i="3"/>
  <c r="H25" i="3"/>
  <c r="K20" i="3"/>
  <c r="J20" i="3"/>
  <c r="I20" i="3"/>
  <c r="H20" i="3"/>
  <c r="Q39" i="3"/>
  <c r="Q36" i="3"/>
  <c r="Q35" i="3"/>
  <c r="Q34" i="3"/>
  <c r="Q32" i="3"/>
  <c r="Q31" i="3"/>
  <c r="Q29" i="3"/>
  <c r="Q28" i="3"/>
  <c r="Q27" i="3"/>
  <c r="Q24" i="3"/>
  <c r="Q23" i="3"/>
  <c r="Q22" i="3"/>
  <c r="Q21" i="3"/>
  <c r="Q19" i="3"/>
  <c r="Q18" i="3"/>
  <c r="Q17" i="3"/>
  <c r="Q16" i="3"/>
  <c r="O63" i="4" l="1"/>
  <c r="J7" i="3"/>
  <c r="J8" i="3" s="1"/>
  <c r="K7" i="3"/>
  <c r="K8" i="3" s="1"/>
  <c r="I7" i="3"/>
  <c r="I8" i="3" s="1"/>
  <c r="H7" i="3"/>
  <c r="H8" i="3" s="1"/>
  <c r="H26" i="3"/>
  <c r="H33" i="3" s="1"/>
  <c r="H38" i="3" s="1"/>
  <c r="H40" i="3" s="1"/>
  <c r="I26" i="3"/>
  <c r="I33" i="3" s="1"/>
  <c r="I38" i="3" s="1"/>
  <c r="I40" i="3" s="1"/>
  <c r="J26" i="3"/>
  <c r="J33" i="3" s="1"/>
  <c r="J38" i="3" s="1"/>
  <c r="J40" i="3" s="1"/>
  <c r="K26" i="3"/>
  <c r="K33" i="3" s="1"/>
  <c r="K38" i="3" s="1"/>
  <c r="K40" i="3" s="1"/>
  <c r="I10" i="3" l="1"/>
  <c r="N63" i="4"/>
  <c r="P61" i="4"/>
  <c r="P63" i="4" s="1"/>
  <c r="Q61" i="4" s="1"/>
  <c r="Q63" i="4" s="1"/>
  <c r="R61" i="4" s="1"/>
  <c r="R63" i="4" s="1"/>
  <c r="S61" i="4" s="1"/>
  <c r="S63" i="4" s="1"/>
  <c r="J10" i="3"/>
  <c r="K10" i="3"/>
  <c r="K11" i="3" s="1"/>
  <c r="H10" i="3"/>
  <c r="H11" i="3" s="1"/>
  <c r="I11" i="3"/>
  <c r="J11" i="3"/>
  <c r="P37" i="3" l="1"/>
  <c r="O37" i="3"/>
  <c r="N37" i="3"/>
  <c r="M37" i="3"/>
  <c r="P30" i="3"/>
  <c r="O30" i="3"/>
  <c r="N30" i="3"/>
  <c r="M30" i="3"/>
  <c r="P25" i="3"/>
  <c r="O25" i="3"/>
  <c r="N25" i="3"/>
  <c r="M25" i="3"/>
  <c r="P20" i="3"/>
  <c r="O20" i="3"/>
  <c r="N20" i="3"/>
  <c r="M20" i="3"/>
  <c r="M7" i="3" l="1"/>
  <c r="O7" i="3"/>
  <c r="O10" i="3" s="1"/>
  <c r="O13" i="3" s="1"/>
  <c r="N7" i="3"/>
  <c r="N10" i="3" s="1"/>
  <c r="N13" i="3" s="1"/>
  <c r="P7" i="3"/>
  <c r="P10" i="3" s="1"/>
  <c r="P13" i="3" s="1"/>
  <c r="M26" i="3"/>
  <c r="M33" i="3" s="1"/>
  <c r="M38" i="3" s="1"/>
  <c r="M40" i="3" s="1"/>
  <c r="N26" i="3"/>
  <c r="N33" i="3" s="1"/>
  <c r="N38" i="3" s="1"/>
  <c r="N40" i="3" s="1"/>
  <c r="O26" i="3"/>
  <c r="O33" i="3" s="1"/>
  <c r="O38" i="3" s="1"/>
  <c r="O40" i="3" s="1"/>
  <c r="P26" i="3"/>
  <c r="P33" i="3" s="1"/>
  <c r="P38" i="3" s="1"/>
  <c r="P40" i="3" s="1"/>
  <c r="N8" i="3" l="1"/>
  <c r="O8" i="3"/>
  <c r="P8" i="3"/>
  <c r="N11" i="3"/>
  <c r="M10" i="3"/>
  <c r="M8" i="3"/>
  <c r="P11" i="3"/>
  <c r="O11" i="3"/>
  <c r="M11" i="3" l="1"/>
  <c r="M13" i="3" l="1"/>
  <c r="V36" i="3"/>
  <c r="V35" i="3"/>
  <c r="V34" i="3"/>
  <c r="V32" i="3"/>
  <c r="V31" i="3"/>
  <c r="V29" i="3"/>
  <c r="V28" i="3"/>
  <c r="V27" i="3"/>
  <c r="V24" i="3"/>
  <c r="V23" i="3"/>
  <c r="V22" i="3"/>
  <c r="V21" i="3"/>
  <c r="V19" i="3"/>
  <c r="V18" i="3"/>
  <c r="V17" i="3"/>
  <c r="V16" i="3"/>
  <c r="U37" i="3" l="1"/>
  <c r="U30" i="3"/>
  <c r="U25" i="3"/>
  <c r="U20" i="3"/>
  <c r="T37" i="3"/>
  <c r="T30" i="3"/>
  <c r="T25" i="3"/>
  <c r="T20" i="3"/>
  <c r="S37" i="3"/>
  <c r="S30" i="3"/>
  <c r="S25" i="3"/>
  <c r="S20" i="3"/>
  <c r="R37" i="3"/>
  <c r="R30" i="3"/>
  <c r="R25" i="3"/>
  <c r="R20" i="3"/>
  <c r="V20" i="3"/>
  <c r="V25" i="3"/>
  <c r="V30" i="3"/>
  <c r="V37" i="3"/>
  <c r="S7" i="3" l="1"/>
  <c r="S9" i="3" s="1"/>
  <c r="V7" i="3"/>
  <c r="U7" i="3"/>
  <c r="U9" i="3" s="1"/>
  <c r="R7" i="3"/>
  <c r="R9" i="3" s="1"/>
  <c r="T7" i="3"/>
  <c r="T9" i="3" s="1"/>
  <c r="S26" i="3"/>
  <c r="S33" i="3" s="1"/>
  <c r="S38" i="3" s="1"/>
  <c r="S40" i="3" s="1"/>
  <c r="T26" i="3"/>
  <c r="T33" i="3" s="1"/>
  <c r="T38" i="3" s="1"/>
  <c r="T40" i="3" s="1"/>
  <c r="R26" i="3"/>
  <c r="R33" i="3" s="1"/>
  <c r="R38" i="3" s="1"/>
  <c r="R40" i="3" s="1"/>
  <c r="U26" i="3"/>
  <c r="U33" i="3" s="1"/>
  <c r="U38" i="3" s="1"/>
  <c r="U40" i="3" s="1"/>
  <c r="V26" i="3"/>
  <c r="V33" i="3" s="1"/>
  <c r="V38" i="3" s="1"/>
  <c r="V9" i="3" l="1"/>
  <c r="V39" i="3"/>
  <c r="V40" i="3" s="1"/>
  <c r="U8" i="3"/>
  <c r="T8" i="3"/>
  <c r="S8" i="3"/>
  <c r="R8" i="3"/>
  <c r="V10" i="3"/>
  <c r="V12" i="3" s="1"/>
  <c r="U12" i="3" s="1"/>
  <c r="V8" i="3"/>
  <c r="J138" i="4" l="1"/>
  <c r="J139" i="4" s="1"/>
  <c r="U13" i="3"/>
  <c r="R13" i="3"/>
  <c r="U11" i="3"/>
  <c r="T13" i="3"/>
  <c r="T11" i="3"/>
  <c r="S13" i="3"/>
  <c r="S11" i="3"/>
  <c r="R11" i="3"/>
  <c r="V11" i="3"/>
  <c r="V13" i="3"/>
  <c r="W37" i="3" l="1"/>
  <c r="AA37" i="3" s="1"/>
  <c r="W30" i="3"/>
  <c r="AA30" i="3" s="1"/>
  <c r="W25" i="3"/>
  <c r="AA25" i="3" s="1"/>
  <c r="W20" i="3"/>
  <c r="AA20" i="3" s="1"/>
  <c r="AA11" i="3" l="1"/>
  <c r="AA13" i="3"/>
  <c r="W7" i="3"/>
  <c r="W26" i="3"/>
  <c r="W33" i="3" l="1"/>
  <c r="AA26" i="3"/>
  <c r="AA7" i="3"/>
  <c r="W9" i="3"/>
  <c r="M138" i="4"/>
  <c r="L138" i="4"/>
  <c r="L139" i="4" s="1"/>
  <c r="K138" i="4"/>
  <c r="K139" i="4" s="1"/>
  <c r="W8" i="3"/>
  <c r="W13" i="3"/>
  <c r="W11" i="3"/>
  <c r="M139" i="4" l="1"/>
  <c r="M142" i="4"/>
  <c r="W38" i="3"/>
  <c r="AA33" i="3"/>
  <c r="AA9" i="3"/>
  <c r="AA8" i="3"/>
  <c r="F37" i="3"/>
  <c r="E37" i="3"/>
  <c r="D37" i="3"/>
  <c r="C37" i="3"/>
  <c r="AA38" i="3" l="1"/>
  <c r="W40" i="3"/>
  <c r="AA40" i="3" s="1"/>
  <c r="F30" i="3"/>
  <c r="E30" i="3"/>
  <c r="D30" i="3"/>
  <c r="C30" i="3"/>
  <c r="F25" i="3"/>
  <c r="E25" i="3"/>
  <c r="D25" i="3"/>
  <c r="C25" i="3"/>
  <c r="F20" i="3" l="1"/>
  <c r="E20" i="3"/>
  <c r="D20" i="3"/>
  <c r="C20" i="3"/>
  <c r="D26" i="3" l="1"/>
  <c r="D33" i="3" s="1"/>
  <c r="D38" i="3" s="1"/>
  <c r="D7" i="3"/>
  <c r="E26" i="3"/>
  <c r="E33" i="3" s="1"/>
  <c r="E38" i="3" s="1"/>
  <c r="E40" i="3" s="1"/>
  <c r="E7" i="3"/>
  <c r="C26" i="3"/>
  <c r="C33" i="3" s="1"/>
  <c r="C38" i="3" s="1"/>
  <c r="C40" i="3" s="1"/>
  <c r="C7" i="3"/>
  <c r="F26" i="3"/>
  <c r="F33" i="3" s="1"/>
  <c r="F38" i="3" s="1"/>
  <c r="F40" i="3" s="1"/>
  <c r="F7" i="3"/>
  <c r="D40" i="3"/>
  <c r="E10" i="3" l="1"/>
  <c r="E138" i="4" s="1"/>
  <c r="E139" i="4" s="1"/>
  <c r="E8" i="3"/>
  <c r="C8" i="3"/>
  <c r="C10" i="3"/>
  <c r="C138" i="4" s="1"/>
  <c r="C139" i="4" s="1"/>
  <c r="F10" i="3"/>
  <c r="F138" i="4" s="1"/>
  <c r="F139" i="4" s="1"/>
  <c r="F8" i="3"/>
  <c r="D10" i="3"/>
  <c r="D138" i="4" s="1"/>
  <c r="D139" i="4" s="1"/>
  <c r="D8" i="3"/>
  <c r="F11" i="3" l="1"/>
  <c r="C11" i="3"/>
  <c r="E11" i="3"/>
  <c r="D11" i="3"/>
  <c r="G25" i="3" l="1"/>
  <c r="Q30" i="3" l="1"/>
  <c r="L30" i="3"/>
  <c r="G30" i="3"/>
  <c r="L25" i="3" l="1"/>
  <c r="Q25" i="3" l="1"/>
  <c r="Q20" i="3"/>
  <c r="Q7" i="3" l="1"/>
  <c r="L20" i="3"/>
  <c r="L26" i="3" l="1"/>
  <c r="L33" i="3" s="1"/>
  <c r="L7" i="3"/>
  <c r="Q37" i="3"/>
  <c r="L37" i="3"/>
  <c r="G37" i="3"/>
  <c r="Q26" i="3"/>
  <c r="L10" i="3" l="1"/>
  <c r="H138" i="4" s="1"/>
  <c r="H139" i="4" s="1"/>
  <c r="Q8" i="3"/>
  <c r="L38" i="3"/>
  <c r="Q33" i="3"/>
  <c r="Q38" i="3" s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L11" i="3" l="1"/>
  <c r="L8" i="3"/>
  <c r="Q10" i="3"/>
  <c r="Q40" i="3"/>
  <c r="L40" i="3"/>
  <c r="C164" i="1"/>
  <c r="C169" i="1" s="1"/>
  <c r="C155" i="1"/>
  <c r="C143" i="1"/>
  <c r="C124" i="1"/>
  <c r="C109" i="1"/>
  <c r="C105" i="1"/>
  <c r="C95" i="1"/>
  <c r="C89" i="1"/>
  <c r="C64" i="1"/>
  <c r="C57" i="1"/>
  <c r="C52" i="1"/>
  <c r="C53" i="1" s="1"/>
  <c r="C48" i="1"/>
  <c r="C38" i="1"/>
  <c r="C23" i="1"/>
  <c r="C21" i="1"/>
  <c r="C22" i="1" s="1"/>
  <c r="C14" i="1"/>
  <c r="C12" i="1"/>
  <c r="C10" i="1"/>
  <c r="AI164" i="1"/>
  <c r="AI169" i="1" s="1"/>
  <c r="AI155" i="1"/>
  <c r="AI143" i="1"/>
  <c r="AI124" i="1"/>
  <c r="AI109" i="1"/>
  <c r="AI105" i="1"/>
  <c r="AI95" i="1"/>
  <c r="AI89" i="1"/>
  <c r="AI64" i="1"/>
  <c r="AI57" i="1"/>
  <c r="AI51" i="1"/>
  <c r="AI49" i="1"/>
  <c r="AI52" i="1" s="1"/>
  <c r="AI48" i="1"/>
  <c r="AI37" i="1"/>
  <c r="AI23" i="1"/>
  <c r="AI21" i="1"/>
  <c r="AI22" i="1" s="1"/>
  <c r="AI12" i="1"/>
  <c r="AI10" i="1"/>
  <c r="AI142" i="1" l="1"/>
  <c r="AI53" i="1"/>
  <c r="AI24" i="1"/>
  <c r="C24" i="1"/>
  <c r="C142" i="1"/>
  <c r="AI18" i="1"/>
  <c r="AI19" i="1"/>
  <c r="C18" i="1"/>
  <c r="C19" i="1"/>
  <c r="I138" i="4"/>
  <c r="I139" i="4" s="1"/>
  <c r="Q12" i="3"/>
  <c r="Q13" i="3" s="1"/>
  <c r="AI14" i="1"/>
  <c r="AI15" i="1" s="1"/>
  <c r="AI60" i="1"/>
  <c r="AI65" i="1" s="1"/>
  <c r="AI67" i="1" s="1"/>
  <c r="C26" i="1"/>
  <c r="C29" i="1" s="1"/>
  <c r="C15" i="1"/>
  <c r="C60" i="1"/>
  <c r="C65" i="1" s="1"/>
  <c r="C73" i="1" s="1"/>
  <c r="C99" i="1" s="1"/>
  <c r="C110" i="1" s="1"/>
  <c r="C112" i="1" s="1"/>
  <c r="C118" i="1" s="1"/>
  <c r="C117" i="1" s="1"/>
  <c r="C116" i="1" s="1"/>
  <c r="Q11" i="3"/>
  <c r="AH164" i="1"/>
  <c r="AH169" i="1" s="1"/>
  <c r="AG164" i="1"/>
  <c r="AG169" i="1" s="1"/>
  <c r="AF164" i="1"/>
  <c r="AF169" i="1" s="1"/>
  <c r="AE164" i="1"/>
  <c r="AE169" i="1" s="1"/>
  <c r="AD164" i="1"/>
  <c r="AD169" i="1" s="1"/>
  <c r="AC164" i="1"/>
  <c r="AC169" i="1" s="1"/>
  <c r="AB164" i="1"/>
  <c r="AB169" i="1" s="1"/>
  <c r="AA164" i="1"/>
  <c r="AA169" i="1" s="1"/>
  <c r="Z164" i="1"/>
  <c r="Z169" i="1" s="1"/>
  <c r="Y164" i="1"/>
  <c r="Y169" i="1" s="1"/>
  <c r="X164" i="1"/>
  <c r="X169" i="1" s="1"/>
  <c r="W164" i="1"/>
  <c r="W169" i="1" s="1"/>
  <c r="V164" i="1"/>
  <c r="V169" i="1" s="1"/>
  <c r="U164" i="1"/>
  <c r="U169" i="1" s="1"/>
  <c r="T164" i="1"/>
  <c r="T169" i="1" s="1"/>
  <c r="S164" i="1"/>
  <c r="S169" i="1" s="1"/>
  <c r="R164" i="1"/>
  <c r="R169" i="1" s="1"/>
  <c r="Q164" i="1"/>
  <c r="Q169" i="1" s="1"/>
  <c r="P164" i="1"/>
  <c r="P169" i="1" s="1"/>
  <c r="O164" i="1"/>
  <c r="O169" i="1" s="1"/>
  <c r="N164" i="1"/>
  <c r="N169" i="1" s="1"/>
  <c r="M164" i="1"/>
  <c r="M169" i="1" s="1"/>
  <c r="L164" i="1"/>
  <c r="L169" i="1" s="1"/>
  <c r="K164" i="1"/>
  <c r="K169" i="1" s="1"/>
  <c r="J164" i="1"/>
  <c r="J169" i="1" s="1"/>
  <c r="I164" i="1"/>
  <c r="I169" i="1" s="1"/>
  <c r="H164" i="1"/>
  <c r="H169" i="1" s="1"/>
  <c r="G164" i="1"/>
  <c r="G169" i="1" s="1"/>
  <c r="F164" i="1"/>
  <c r="F169" i="1" s="1"/>
  <c r="E164" i="1"/>
  <c r="E169" i="1" s="1"/>
  <c r="D164" i="1"/>
  <c r="D169" i="1" s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AH143" i="1"/>
  <c r="AH142" i="1" s="1"/>
  <c r="AG143" i="1"/>
  <c r="AF143" i="1"/>
  <c r="AE143" i="1"/>
  <c r="AD143" i="1"/>
  <c r="AC143" i="1"/>
  <c r="AB143" i="1"/>
  <c r="AA143" i="1"/>
  <c r="Z143" i="1"/>
  <c r="Z142" i="1" s="1"/>
  <c r="Y143" i="1"/>
  <c r="X143" i="1"/>
  <c r="W143" i="1"/>
  <c r="V143" i="1"/>
  <c r="U143" i="1"/>
  <c r="T143" i="1"/>
  <c r="S143" i="1"/>
  <c r="R143" i="1"/>
  <c r="R142" i="1" s="1"/>
  <c r="Q143" i="1"/>
  <c r="P143" i="1"/>
  <c r="O143" i="1"/>
  <c r="N143" i="1"/>
  <c r="M143" i="1"/>
  <c r="L143" i="1"/>
  <c r="K143" i="1"/>
  <c r="J143" i="1"/>
  <c r="J142" i="1" s="1"/>
  <c r="I143" i="1"/>
  <c r="H143" i="1"/>
  <c r="G143" i="1"/>
  <c r="F143" i="1"/>
  <c r="E143" i="1"/>
  <c r="D143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U142" i="1" l="1"/>
  <c r="F142" i="1"/>
  <c r="N142" i="1"/>
  <c r="V142" i="1"/>
  <c r="AD142" i="1"/>
  <c r="M142" i="1"/>
  <c r="E142" i="1"/>
  <c r="AC142" i="1"/>
  <c r="AI73" i="1"/>
  <c r="AI99" i="1" s="1"/>
  <c r="AI110" i="1" s="1"/>
  <c r="AI112" i="1" s="1"/>
  <c r="AI118" i="1" s="1"/>
  <c r="AI117" i="1" s="1"/>
  <c r="AI116" i="1" s="1"/>
  <c r="I142" i="1"/>
  <c r="Q142" i="1"/>
  <c r="Y142" i="1"/>
  <c r="AG142" i="1"/>
  <c r="C27" i="1"/>
  <c r="D142" i="1"/>
  <c r="H142" i="1"/>
  <c r="L142" i="1"/>
  <c r="P142" i="1"/>
  <c r="T142" i="1"/>
  <c r="X142" i="1"/>
  <c r="AB142" i="1"/>
  <c r="AF142" i="1"/>
  <c r="G142" i="1"/>
  <c r="K142" i="1"/>
  <c r="O142" i="1"/>
  <c r="S142" i="1"/>
  <c r="W142" i="1"/>
  <c r="AA142" i="1"/>
  <c r="AE142" i="1"/>
  <c r="C67" i="1"/>
  <c r="AI26" i="1"/>
  <c r="C33" i="1"/>
  <c r="C34" i="1" s="1"/>
  <c r="C30" i="1"/>
  <c r="AI36" i="1"/>
  <c r="AI38" i="1" s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H14" i="1"/>
  <c r="AH15" i="1" s="1"/>
  <c r="AG14" i="1"/>
  <c r="AG15" i="1" s="1"/>
  <c r="AF14" i="1"/>
  <c r="AF15" i="1" s="1"/>
  <c r="AE14" i="1"/>
  <c r="AE15" i="1" s="1"/>
  <c r="AD14" i="1"/>
  <c r="AD15" i="1" s="1"/>
  <c r="AC14" i="1"/>
  <c r="AC15" i="1" s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I27" i="1" l="1"/>
  <c r="AI2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F26" i="1" l="1"/>
  <c r="F18" i="1"/>
  <c r="F19" i="1"/>
  <c r="R26" i="1"/>
  <c r="R27" i="1" s="1"/>
  <c r="R18" i="1"/>
  <c r="R19" i="1"/>
  <c r="AD26" i="1"/>
  <c r="AD29" i="1" s="1"/>
  <c r="AD18" i="1"/>
  <c r="AD19" i="1"/>
  <c r="G26" i="1"/>
  <c r="G19" i="1"/>
  <c r="G18" i="1"/>
  <c r="W26" i="1"/>
  <c r="W19" i="1"/>
  <c r="W18" i="1"/>
  <c r="AE26" i="1"/>
  <c r="AE29" i="1" s="1"/>
  <c r="AE19" i="1"/>
  <c r="AE18" i="1"/>
  <c r="J26" i="1"/>
  <c r="J18" i="1"/>
  <c r="J19" i="1"/>
  <c r="Z26" i="1"/>
  <c r="Z18" i="1"/>
  <c r="Z19" i="1"/>
  <c r="O26" i="1"/>
  <c r="O18" i="1"/>
  <c r="O19" i="1"/>
  <c r="AI33" i="1"/>
  <c r="AI34" i="1" s="1"/>
  <c r="AI30" i="1"/>
  <c r="H26" i="1"/>
  <c r="H19" i="1"/>
  <c r="H18" i="1"/>
  <c r="L26" i="1"/>
  <c r="L19" i="1"/>
  <c r="L18" i="1"/>
  <c r="T26" i="1"/>
  <c r="T27" i="1" s="1"/>
  <c r="T19" i="1"/>
  <c r="T18" i="1"/>
  <c r="X26" i="1"/>
  <c r="X27" i="1" s="1"/>
  <c r="X19" i="1"/>
  <c r="X18" i="1"/>
  <c r="AB26" i="1"/>
  <c r="AB19" i="1"/>
  <c r="AB18" i="1"/>
  <c r="AF26" i="1"/>
  <c r="AF19" i="1"/>
  <c r="AF18" i="1"/>
  <c r="N26" i="1"/>
  <c r="N27" i="1" s="1"/>
  <c r="N18" i="1"/>
  <c r="N19" i="1"/>
  <c r="V26" i="1"/>
  <c r="V18" i="1"/>
  <c r="V19" i="1"/>
  <c r="AH26" i="1"/>
  <c r="AH18" i="1"/>
  <c r="AH19" i="1"/>
  <c r="K26" i="1"/>
  <c r="K19" i="1"/>
  <c r="K18" i="1"/>
  <c r="S26" i="1"/>
  <c r="S27" i="1" s="1"/>
  <c r="S19" i="1"/>
  <c r="S18" i="1"/>
  <c r="AA26" i="1"/>
  <c r="AA27" i="1" s="1"/>
  <c r="AA18" i="1"/>
  <c r="AA19" i="1"/>
  <c r="D26" i="1"/>
  <c r="D19" i="1"/>
  <c r="D18" i="1"/>
  <c r="P26" i="1"/>
  <c r="P29" i="1" s="1"/>
  <c r="P19" i="1"/>
  <c r="P18" i="1"/>
  <c r="E26" i="1"/>
  <c r="E29" i="1" s="1"/>
  <c r="E18" i="1"/>
  <c r="E19" i="1"/>
  <c r="I26" i="1"/>
  <c r="I29" i="1" s="1"/>
  <c r="I18" i="1"/>
  <c r="I19" i="1"/>
  <c r="M26" i="1"/>
  <c r="M19" i="1"/>
  <c r="M18" i="1"/>
  <c r="Q26" i="1"/>
  <c r="Q18" i="1"/>
  <c r="Q19" i="1"/>
  <c r="U26" i="1"/>
  <c r="U27" i="1" s="1"/>
  <c r="U18" i="1"/>
  <c r="U19" i="1"/>
  <c r="Y26" i="1"/>
  <c r="Y27" i="1" s="1"/>
  <c r="Y19" i="1"/>
  <c r="Y18" i="1"/>
  <c r="AC26" i="1"/>
  <c r="AC18" i="1"/>
  <c r="AC19" i="1"/>
  <c r="AG26" i="1"/>
  <c r="AG27" i="1" s="1"/>
  <c r="AG19" i="1"/>
  <c r="AG18" i="1"/>
  <c r="H29" i="1"/>
  <c r="H27" i="1"/>
  <c r="P27" i="1"/>
  <c r="M29" i="1"/>
  <c r="M27" i="1"/>
  <c r="Q29" i="1"/>
  <c r="Q27" i="1"/>
  <c r="AG29" i="1"/>
  <c r="Z29" i="1"/>
  <c r="Z27" i="1"/>
  <c r="AH29" i="1"/>
  <c r="AH27" i="1"/>
  <c r="D29" i="1"/>
  <c r="D27" i="1"/>
  <c r="L29" i="1"/>
  <c r="L27" i="1"/>
  <c r="T29" i="1"/>
  <c r="AB29" i="1"/>
  <c r="AB27" i="1"/>
  <c r="AF29" i="1"/>
  <c r="AF27" i="1"/>
  <c r="I27" i="1"/>
  <c r="AC29" i="1"/>
  <c r="AC27" i="1"/>
  <c r="F29" i="1"/>
  <c r="F27" i="1"/>
  <c r="J29" i="1"/>
  <c r="J27" i="1"/>
  <c r="V29" i="1"/>
  <c r="V27" i="1"/>
  <c r="Q22" i="1"/>
  <c r="AG22" i="1"/>
  <c r="Q24" i="1"/>
  <c r="AG24" i="1"/>
  <c r="R22" i="1"/>
  <c r="AH22" i="1"/>
  <c r="R24" i="1"/>
  <c r="AH24" i="1"/>
  <c r="AE22" i="1"/>
  <c r="S24" i="1"/>
  <c r="P22" i="1"/>
  <c r="AF22" i="1"/>
  <c r="P24" i="1"/>
  <c r="AF24" i="1"/>
  <c r="H24" i="1"/>
  <c r="AC22" i="1"/>
  <c r="N22" i="1"/>
  <c r="AD24" i="1"/>
  <c r="AE24" i="1"/>
  <c r="L24" i="1"/>
  <c r="G22" i="1"/>
  <c r="E22" i="1"/>
  <c r="U22" i="1"/>
  <c r="E24" i="1"/>
  <c r="U24" i="1"/>
  <c r="F22" i="1"/>
  <c r="V22" i="1"/>
  <c r="F24" i="1"/>
  <c r="V24" i="1"/>
  <c r="S22" i="1"/>
  <c r="G24" i="1"/>
  <c r="W24" i="1"/>
  <c r="D22" i="1"/>
  <c r="T22" i="1"/>
  <c r="D24" i="1"/>
  <c r="T24" i="1"/>
  <c r="H22" i="1"/>
  <c r="X24" i="1"/>
  <c r="M22" i="1"/>
  <c r="AC24" i="1"/>
  <c r="N24" i="1"/>
  <c r="O24" i="1"/>
  <c r="AB22" i="1"/>
  <c r="K22" i="1"/>
  <c r="I22" i="1"/>
  <c r="Y22" i="1"/>
  <c r="I24" i="1"/>
  <c r="Y24" i="1"/>
  <c r="J22" i="1"/>
  <c r="Z22" i="1"/>
  <c r="J24" i="1"/>
  <c r="Z24" i="1"/>
  <c r="W22" i="1"/>
  <c r="K24" i="1"/>
  <c r="AA24" i="1"/>
  <c r="X22" i="1"/>
  <c r="O22" i="1"/>
  <c r="M24" i="1"/>
  <c r="AD22" i="1"/>
  <c r="AA22" i="1"/>
  <c r="L22" i="1"/>
  <c r="AB24" i="1"/>
  <c r="G29" i="1"/>
  <c r="G27" i="1"/>
  <c r="K29" i="1"/>
  <c r="K27" i="1"/>
  <c r="O29" i="1"/>
  <c r="O27" i="1"/>
  <c r="W29" i="1"/>
  <c r="W27" i="1"/>
  <c r="AA29" i="1"/>
  <c r="N53" i="1"/>
  <c r="N60" i="1" s="1"/>
  <c r="N65" i="1" s="1"/>
  <c r="Z53" i="1"/>
  <c r="Z60" i="1" s="1"/>
  <c r="Z65" i="1" s="1"/>
  <c r="G53" i="1"/>
  <c r="G60" i="1" s="1"/>
  <c r="G65" i="1" s="1"/>
  <c r="K53" i="1"/>
  <c r="K60" i="1" s="1"/>
  <c r="K65" i="1" s="1"/>
  <c r="O53" i="1"/>
  <c r="O60" i="1" s="1"/>
  <c r="O65" i="1" s="1"/>
  <c r="S53" i="1"/>
  <c r="S60" i="1" s="1"/>
  <c r="S65" i="1" s="1"/>
  <c r="W53" i="1"/>
  <c r="W60" i="1" s="1"/>
  <c r="W65" i="1" s="1"/>
  <c r="AA53" i="1"/>
  <c r="AA60" i="1" s="1"/>
  <c r="AA65" i="1" s="1"/>
  <c r="AE53" i="1"/>
  <c r="AE60" i="1" s="1"/>
  <c r="AE65" i="1" s="1"/>
  <c r="F53" i="1"/>
  <c r="F60" i="1" s="1"/>
  <c r="F65" i="1" s="1"/>
  <c r="R53" i="1"/>
  <c r="R60" i="1" s="1"/>
  <c r="R65" i="1" s="1"/>
  <c r="AH53" i="1"/>
  <c r="AH60" i="1" s="1"/>
  <c r="AH65" i="1" s="1"/>
  <c r="H53" i="1"/>
  <c r="H60" i="1" s="1"/>
  <c r="H65" i="1" s="1"/>
  <c r="L53" i="1"/>
  <c r="L60" i="1" s="1"/>
  <c r="L65" i="1" s="1"/>
  <c r="P53" i="1"/>
  <c r="P60" i="1" s="1"/>
  <c r="P65" i="1" s="1"/>
  <c r="T53" i="1"/>
  <c r="T60" i="1" s="1"/>
  <c r="T65" i="1" s="1"/>
  <c r="X53" i="1"/>
  <c r="X60" i="1" s="1"/>
  <c r="X65" i="1" s="1"/>
  <c r="AB53" i="1"/>
  <c r="AB60" i="1" s="1"/>
  <c r="AB65" i="1" s="1"/>
  <c r="AF53" i="1"/>
  <c r="AF60" i="1" s="1"/>
  <c r="AF65" i="1" s="1"/>
  <c r="J53" i="1"/>
  <c r="J60" i="1" s="1"/>
  <c r="J65" i="1" s="1"/>
  <c r="V53" i="1"/>
  <c r="V60" i="1" s="1"/>
  <c r="V65" i="1" s="1"/>
  <c r="AD53" i="1"/>
  <c r="AD60" i="1" s="1"/>
  <c r="AD65" i="1" s="1"/>
  <c r="D53" i="1"/>
  <c r="D60" i="1" s="1"/>
  <c r="D65" i="1" s="1"/>
  <c r="E53" i="1"/>
  <c r="E60" i="1" s="1"/>
  <c r="E65" i="1" s="1"/>
  <c r="I53" i="1"/>
  <c r="I60" i="1" s="1"/>
  <c r="I65" i="1" s="1"/>
  <c r="M53" i="1"/>
  <c r="M60" i="1" s="1"/>
  <c r="M65" i="1" s="1"/>
  <c r="Q53" i="1"/>
  <c r="Q60" i="1" s="1"/>
  <c r="Q65" i="1" s="1"/>
  <c r="U53" i="1"/>
  <c r="U60" i="1" s="1"/>
  <c r="U65" i="1" s="1"/>
  <c r="Y53" i="1"/>
  <c r="Y60" i="1" s="1"/>
  <c r="Y65" i="1" s="1"/>
  <c r="AC53" i="1"/>
  <c r="AC60" i="1" s="1"/>
  <c r="AC65" i="1" s="1"/>
  <c r="AG53" i="1"/>
  <c r="AG60" i="1" s="1"/>
  <c r="AG65" i="1" s="1"/>
  <c r="AD27" i="1" l="1"/>
  <c r="X29" i="1"/>
  <c r="AI39" i="1"/>
  <c r="Y29" i="1"/>
  <c r="S29" i="1"/>
  <c r="U29" i="1"/>
  <c r="U33" i="1" s="1"/>
  <c r="U34" i="1" s="1"/>
  <c r="R29" i="1"/>
  <c r="N29" i="1"/>
  <c r="N30" i="1" s="1"/>
  <c r="AE27" i="1"/>
  <c r="E27" i="1"/>
  <c r="D67" i="1"/>
  <c r="D73" i="1"/>
  <c r="D99" i="1" s="1"/>
  <c r="D110" i="1" s="1"/>
  <c r="AG67" i="1"/>
  <c r="AG73" i="1"/>
  <c r="AG99" i="1" s="1"/>
  <c r="AG110" i="1" s="1"/>
  <c r="Y67" i="1"/>
  <c r="Y73" i="1"/>
  <c r="Y99" i="1" s="1"/>
  <c r="Y110" i="1" s="1"/>
  <c r="Q67" i="1"/>
  <c r="Q73" i="1"/>
  <c r="Q99" i="1" s="1"/>
  <c r="Q110" i="1" s="1"/>
  <c r="I67" i="1"/>
  <c r="I73" i="1"/>
  <c r="I99" i="1" s="1"/>
  <c r="I110" i="1" s="1"/>
  <c r="V67" i="1"/>
  <c r="V73" i="1"/>
  <c r="V99" i="1" s="1"/>
  <c r="V110" i="1" s="1"/>
  <c r="AF67" i="1"/>
  <c r="AF73" i="1"/>
  <c r="AF99" i="1" s="1"/>
  <c r="AF110" i="1" s="1"/>
  <c r="X67" i="1"/>
  <c r="X73" i="1"/>
  <c r="X99" i="1" s="1"/>
  <c r="X110" i="1" s="1"/>
  <c r="P67" i="1"/>
  <c r="P73" i="1"/>
  <c r="P99" i="1" s="1"/>
  <c r="P110" i="1" s="1"/>
  <c r="H67" i="1"/>
  <c r="H73" i="1"/>
  <c r="H99" i="1" s="1"/>
  <c r="H110" i="1" s="1"/>
  <c r="R67" i="1"/>
  <c r="R73" i="1"/>
  <c r="R99" i="1" s="1"/>
  <c r="R110" i="1" s="1"/>
  <c r="AA67" i="1"/>
  <c r="AA73" i="1"/>
  <c r="AA99" i="1" s="1"/>
  <c r="AA110" i="1" s="1"/>
  <c r="S67" i="1"/>
  <c r="S73" i="1"/>
  <c r="S99" i="1" s="1"/>
  <c r="S110" i="1" s="1"/>
  <c r="K67" i="1"/>
  <c r="K73" i="1"/>
  <c r="K99" i="1" s="1"/>
  <c r="K110" i="1" s="1"/>
  <c r="Z67" i="1"/>
  <c r="Z73" i="1"/>
  <c r="Z99" i="1" s="1"/>
  <c r="Z110" i="1" s="1"/>
  <c r="AC67" i="1"/>
  <c r="AC73" i="1"/>
  <c r="AC99" i="1" s="1"/>
  <c r="AC110" i="1" s="1"/>
  <c r="U67" i="1"/>
  <c r="U73" i="1"/>
  <c r="U99" i="1" s="1"/>
  <c r="U110" i="1" s="1"/>
  <c r="M67" i="1"/>
  <c r="M73" i="1"/>
  <c r="M99" i="1" s="1"/>
  <c r="M110" i="1" s="1"/>
  <c r="E67" i="1"/>
  <c r="E73" i="1"/>
  <c r="E99" i="1" s="1"/>
  <c r="E110" i="1" s="1"/>
  <c r="AD67" i="1"/>
  <c r="AD73" i="1"/>
  <c r="AD99" i="1" s="1"/>
  <c r="AD110" i="1" s="1"/>
  <c r="J67" i="1"/>
  <c r="J73" i="1"/>
  <c r="J99" i="1" s="1"/>
  <c r="J110" i="1" s="1"/>
  <c r="AB67" i="1"/>
  <c r="AB73" i="1"/>
  <c r="AB99" i="1" s="1"/>
  <c r="AB110" i="1" s="1"/>
  <c r="T67" i="1"/>
  <c r="T73" i="1"/>
  <c r="T99" i="1" s="1"/>
  <c r="T110" i="1" s="1"/>
  <c r="L67" i="1"/>
  <c r="L73" i="1"/>
  <c r="L99" i="1" s="1"/>
  <c r="L110" i="1" s="1"/>
  <c r="AH67" i="1"/>
  <c r="AH73" i="1"/>
  <c r="AH99" i="1" s="1"/>
  <c r="AH110" i="1" s="1"/>
  <c r="F67" i="1"/>
  <c r="F73" i="1"/>
  <c r="F99" i="1" s="1"/>
  <c r="F110" i="1" s="1"/>
  <c r="AE67" i="1"/>
  <c r="AE73" i="1"/>
  <c r="AE99" i="1" s="1"/>
  <c r="AE110" i="1" s="1"/>
  <c r="W67" i="1"/>
  <c r="W73" i="1"/>
  <c r="W99" i="1" s="1"/>
  <c r="W110" i="1" s="1"/>
  <c r="O67" i="1"/>
  <c r="O73" i="1"/>
  <c r="O99" i="1" s="1"/>
  <c r="O110" i="1" s="1"/>
  <c r="G67" i="1"/>
  <c r="G73" i="1"/>
  <c r="G99" i="1" s="1"/>
  <c r="G110" i="1" s="1"/>
  <c r="N67" i="1"/>
  <c r="N73" i="1"/>
  <c r="N99" i="1" s="1"/>
  <c r="N110" i="1" s="1"/>
  <c r="W33" i="1"/>
  <c r="W34" i="1" s="1"/>
  <c r="W30" i="1"/>
  <c r="V33" i="1"/>
  <c r="V34" i="1" s="1"/>
  <c r="V30" i="1"/>
  <c r="J33" i="1"/>
  <c r="J34" i="1" s="1"/>
  <c r="J30" i="1"/>
  <c r="AC33" i="1"/>
  <c r="AC34" i="1" s="1"/>
  <c r="AC30" i="1"/>
  <c r="I33" i="1"/>
  <c r="I34" i="1" s="1"/>
  <c r="I30" i="1"/>
  <c r="AB33" i="1"/>
  <c r="AB34" i="1" s="1"/>
  <c r="AB30" i="1"/>
  <c r="L33" i="1"/>
  <c r="L34" i="1" s="1"/>
  <c r="L30" i="1"/>
  <c r="AH33" i="1"/>
  <c r="AH34" i="1" s="1"/>
  <c r="AH30" i="1"/>
  <c r="Z33" i="1"/>
  <c r="Z34" i="1" s="1"/>
  <c r="Z30" i="1"/>
  <c r="AG33" i="1"/>
  <c r="AG34" i="1" s="1"/>
  <c r="AG30" i="1"/>
  <c r="Q33" i="1"/>
  <c r="Q34" i="1" s="1"/>
  <c r="Q30" i="1"/>
  <c r="E33" i="1"/>
  <c r="E34" i="1" s="1"/>
  <c r="E30" i="1"/>
  <c r="P33" i="1"/>
  <c r="P34" i="1" s="1"/>
  <c r="P30" i="1"/>
  <c r="AA33" i="1"/>
  <c r="AA34" i="1" s="1"/>
  <c r="AA30" i="1"/>
  <c r="S33" i="1"/>
  <c r="S34" i="1" s="1"/>
  <c r="S30" i="1"/>
  <c r="K33" i="1"/>
  <c r="K34" i="1" s="1"/>
  <c r="K30" i="1"/>
  <c r="AE33" i="1"/>
  <c r="AE34" i="1" s="1"/>
  <c r="AE30" i="1"/>
  <c r="O33" i="1"/>
  <c r="O34" i="1" s="1"/>
  <c r="O30" i="1"/>
  <c r="G33" i="1"/>
  <c r="G34" i="1" s="1"/>
  <c r="G30" i="1"/>
  <c r="R33" i="1"/>
  <c r="R34" i="1" s="1"/>
  <c r="R30" i="1"/>
  <c r="F33" i="1"/>
  <c r="F34" i="1" s="1"/>
  <c r="F30" i="1"/>
  <c r="AF33" i="1"/>
  <c r="AF34" i="1" s="1"/>
  <c r="AF30" i="1"/>
  <c r="T33" i="1"/>
  <c r="T34" i="1" s="1"/>
  <c r="T30" i="1"/>
  <c r="D33" i="1"/>
  <c r="D34" i="1" s="1"/>
  <c r="D30" i="1"/>
  <c r="AD33" i="1"/>
  <c r="AD34" i="1" s="1"/>
  <c r="AD30" i="1"/>
  <c r="Y33" i="1"/>
  <c r="Y34" i="1" s="1"/>
  <c r="Y30" i="1"/>
  <c r="M33" i="1"/>
  <c r="M34" i="1" s="1"/>
  <c r="M30" i="1"/>
  <c r="X33" i="1"/>
  <c r="X34" i="1" s="1"/>
  <c r="X30" i="1"/>
  <c r="H33" i="1"/>
  <c r="H34" i="1" s="1"/>
  <c r="H30" i="1"/>
  <c r="N33" i="1" l="1"/>
  <c r="N34" i="1" s="1"/>
  <c r="U30" i="1"/>
  <c r="D111" i="1"/>
  <c r="D112" i="1"/>
  <c r="E111" i="1" l="1"/>
  <c r="E112" i="1" s="1"/>
  <c r="D118" i="1"/>
  <c r="D117" i="1" s="1"/>
  <c r="D116" i="1" s="1"/>
  <c r="F111" i="1" l="1"/>
  <c r="F112" i="1" s="1"/>
  <c r="E118" i="1"/>
  <c r="E117" i="1" s="1"/>
  <c r="E116" i="1" s="1"/>
  <c r="G111" i="1" l="1"/>
  <c r="G112" i="1" s="1"/>
  <c r="F118" i="1"/>
  <c r="F117" i="1" s="1"/>
  <c r="F116" i="1" s="1"/>
  <c r="H111" i="1" l="1"/>
  <c r="H112" i="1" s="1"/>
  <c r="G118" i="1"/>
  <c r="G117" i="1" s="1"/>
  <c r="G116" i="1" s="1"/>
  <c r="I111" i="1" l="1"/>
  <c r="I112" i="1" s="1"/>
  <c r="H118" i="1"/>
  <c r="H117" i="1" s="1"/>
  <c r="H116" i="1" s="1"/>
  <c r="J111" i="1" l="1"/>
  <c r="J112" i="1" s="1"/>
  <c r="I118" i="1"/>
  <c r="I117" i="1" s="1"/>
  <c r="I116" i="1" s="1"/>
  <c r="K111" i="1" l="1"/>
  <c r="K112" i="1" s="1"/>
  <c r="J118" i="1"/>
  <c r="J117" i="1" s="1"/>
  <c r="J116" i="1" s="1"/>
  <c r="L111" i="1" l="1"/>
  <c r="L112" i="1" s="1"/>
  <c r="K118" i="1"/>
  <c r="K117" i="1" s="1"/>
  <c r="K116" i="1" s="1"/>
  <c r="M111" i="1" l="1"/>
  <c r="M112" i="1" s="1"/>
  <c r="L118" i="1"/>
  <c r="L117" i="1" s="1"/>
  <c r="L116" i="1" s="1"/>
  <c r="N111" i="1" l="1"/>
  <c r="N112" i="1" s="1"/>
  <c r="M118" i="1"/>
  <c r="M117" i="1" s="1"/>
  <c r="M116" i="1" s="1"/>
  <c r="O111" i="1" l="1"/>
  <c r="O112" i="1" s="1"/>
  <c r="N118" i="1"/>
  <c r="N117" i="1" s="1"/>
  <c r="N116" i="1" s="1"/>
  <c r="P111" i="1" l="1"/>
  <c r="P112" i="1" s="1"/>
  <c r="O118" i="1"/>
  <c r="O117" i="1" s="1"/>
  <c r="O116" i="1" s="1"/>
  <c r="Q111" i="1" l="1"/>
  <c r="Q112" i="1" s="1"/>
  <c r="P118" i="1"/>
  <c r="P117" i="1" s="1"/>
  <c r="P116" i="1" s="1"/>
  <c r="R111" i="1" l="1"/>
  <c r="R112" i="1" s="1"/>
  <c r="Q118" i="1"/>
  <c r="Q117" i="1" s="1"/>
  <c r="Q116" i="1" s="1"/>
  <c r="S111" i="1" l="1"/>
  <c r="S112" i="1" s="1"/>
  <c r="R118" i="1"/>
  <c r="R117" i="1" s="1"/>
  <c r="R116" i="1" s="1"/>
  <c r="T111" i="1" l="1"/>
  <c r="T112" i="1" s="1"/>
  <c r="S118" i="1"/>
  <c r="S117" i="1" s="1"/>
  <c r="S116" i="1" s="1"/>
  <c r="U111" i="1" l="1"/>
  <c r="U112" i="1" s="1"/>
  <c r="T118" i="1"/>
  <c r="T117" i="1" s="1"/>
  <c r="T116" i="1" s="1"/>
  <c r="V111" i="1" l="1"/>
  <c r="V112" i="1" s="1"/>
  <c r="U118" i="1"/>
  <c r="U117" i="1" s="1"/>
  <c r="U116" i="1" s="1"/>
  <c r="W111" i="1" l="1"/>
  <c r="W112" i="1" s="1"/>
  <c r="V118" i="1"/>
  <c r="V117" i="1" s="1"/>
  <c r="V116" i="1" s="1"/>
  <c r="X111" i="1" l="1"/>
  <c r="X112" i="1" s="1"/>
  <c r="W118" i="1"/>
  <c r="W117" i="1" s="1"/>
  <c r="W116" i="1" s="1"/>
  <c r="Y111" i="1" l="1"/>
  <c r="Y112" i="1" s="1"/>
  <c r="X118" i="1"/>
  <c r="X117" i="1" s="1"/>
  <c r="X116" i="1" s="1"/>
  <c r="Z111" i="1" l="1"/>
  <c r="Z112" i="1" s="1"/>
  <c r="Y118" i="1"/>
  <c r="Y117" i="1" s="1"/>
  <c r="Y116" i="1" s="1"/>
  <c r="AA111" i="1" l="1"/>
  <c r="AA112" i="1" s="1"/>
  <c r="AA118" i="1" s="1"/>
  <c r="AA117" i="1" s="1"/>
  <c r="AA116" i="1" s="1"/>
  <c r="Z118" i="1"/>
  <c r="Z117" i="1" s="1"/>
  <c r="Z116" i="1" s="1"/>
  <c r="AH38" i="1" l="1"/>
  <c r="AH39" i="1" s="1"/>
  <c r="AG38" i="1"/>
  <c r="AG39" i="1" s="1"/>
  <c r="AF38" i="1"/>
  <c r="AF39" i="1" s="1"/>
  <c r="AE38" i="1"/>
  <c r="AE39" i="1" s="1"/>
  <c r="AD38" i="1"/>
  <c r="AD39" i="1" s="1"/>
  <c r="AC38" i="1"/>
  <c r="AC39" i="1" s="1"/>
  <c r="AB38" i="1"/>
  <c r="AB39" i="1" s="1"/>
  <c r="AA38" i="1"/>
  <c r="AA39" i="1" s="1"/>
  <c r="Z38" i="1"/>
  <c r="Z39" i="1" s="1"/>
  <c r="Y38" i="1"/>
  <c r="Y39" i="1" s="1"/>
  <c r="X38" i="1"/>
  <c r="X39" i="1" s="1"/>
  <c r="W38" i="1"/>
  <c r="W39" i="1" s="1"/>
  <c r="V38" i="1"/>
  <c r="V39" i="1" s="1"/>
  <c r="U38" i="1"/>
  <c r="U39" i="1" s="1"/>
  <c r="T38" i="1"/>
  <c r="T39" i="1" s="1"/>
  <c r="S38" i="1"/>
  <c r="S39" i="1" s="1"/>
  <c r="R38" i="1"/>
  <c r="R39" i="1" s="1"/>
  <c r="Q38" i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D38" i="1"/>
  <c r="AH10" i="1" l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B111" i="1" l="1"/>
  <c r="AB112" i="1" l="1"/>
  <c r="AC111" i="1" l="1"/>
  <c r="AB118" i="1"/>
  <c r="AB117" i="1" s="1"/>
  <c r="AB116" i="1" s="1"/>
  <c r="AC112" i="1"/>
  <c r="AD111" i="1" l="1"/>
  <c r="AC118" i="1"/>
  <c r="AC117" i="1" s="1"/>
  <c r="AC116" i="1" s="1"/>
  <c r="AD112" i="1"/>
  <c r="AE111" i="1" l="1"/>
  <c r="AD118" i="1"/>
  <c r="AD117" i="1" s="1"/>
  <c r="AD116" i="1" s="1"/>
  <c r="AE112" i="1"/>
  <c r="AF111" i="1" l="1"/>
  <c r="AE118" i="1"/>
  <c r="AE117" i="1" s="1"/>
  <c r="AE116" i="1" s="1"/>
  <c r="AF112" i="1"/>
  <c r="AG111" i="1" l="1"/>
  <c r="AF118" i="1"/>
  <c r="AF117" i="1" s="1"/>
  <c r="AF116" i="1" s="1"/>
  <c r="AG112" i="1"/>
  <c r="AH111" i="1" l="1"/>
  <c r="AG118" i="1"/>
  <c r="AG117" i="1" s="1"/>
  <c r="AG116" i="1" s="1"/>
  <c r="AH112" i="1"/>
  <c r="AH118" i="1" l="1"/>
  <c r="AH117" i="1" s="1"/>
  <c r="AH116" i="1" s="1"/>
  <c r="G20" i="3" l="1"/>
  <c r="G7" i="3" l="1"/>
  <c r="G26" i="3"/>
  <c r="G33" i="3" s="1"/>
  <c r="G38" i="3" s="1"/>
  <c r="G10" i="3" l="1"/>
  <c r="G138" i="4" s="1"/>
  <c r="G139" i="4" s="1"/>
  <c r="G8" i="3"/>
  <c r="G40" i="3"/>
  <c r="G11" i="3" l="1"/>
  <c r="O14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8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com transferencia de concreto
</t>
        </r>
      </text>
    </comment>
    <comment ref="AI16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</t>
        </r>
      </text>
    </comment>
    <comment ref="A1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base FR, apenas cimento</t>
        </r>
      </text>
    </comment>
    <comment ref="A31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Adj EBITDA - IFRS16</t>
        </r>
      </text>
    </comment>
    <comment ref="A44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23</t>
        </r>
      </text>
    </comment>
    <comment ref="A49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1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  <comment ref="A54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4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2" authorId="0" shapeId="0" xr:uid="{00000000-0006-0000-0100-000001000000}">
      <text>
        <r>
          <rPr>
            <sz val="9"/>
            <color indexed="81"/>
            <rFont val="Segoe UI"/>
            <family val="2"/>
          </rPr>
          <t>Arrendamento/Direito de Uso/Amortização</t>
        </r>
      </text>
    </comment>
  </commentList>
</comments>
</file>

<file path=xl/sharedStrings.xml><?xml version="1.0" encoding="utf-8"?>
<sst xmlns="http://schemas.openxmlformats.org/spreadsheetml/2006/main" count="711" uniqueCount="223">
  <si>
    <t>1T13</t>
  </si>
  <si>
    <t>Unidade</t>
  </si>
  <si>
    <t>Receita Líquida</t>
  </si>
  <si>
    <t>Resultado financeiro</t>
  </si>
  <si>
    <t>R$ milhares</t>
  </si>
  <si>
    <t>%</t>
  </si>
  <si>
    <t>Demonstração do Resultado do Exercício</t>
  </si>
  <si>
    <t>Demonstração dos Fluxos de Caixa</t>
  </si>
  <si>
    <t>Imposto de renda e contribuição social pagos</t>
  </si>
  <si>
    <t>Balanço Patrimonial</t>
  </si>
  <si>
    <t>Ativo</t>
  </si>
  <si>
    <t>Circulante</t>
  </si>
  <si>
    <t>Caixa e Equivalente de Caixa</t>
  </si>
  <si>
    <t>Não-Circulante</t>
  </si>
  <si>
    <t>Imobilizado</t>
  </si>
  <si>
    <t>Passivo</t>
  </si>
  <si>
    <t>Fornecedores</t>
  </si>
  <si>
    <t>Capital Social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</si>
  <si>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</si>
  <si>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</si>
  <si>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</si>
  <si>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</si>
  <si>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</si>
  <si>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</si>
  <si>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</si>
  <si>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</si>
  <si>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</si>
  <si>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</si>
  <si>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</si>
  <si>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</si>
  <si>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</si>
  <si>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</si>
  <si>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EBITDA</t>
  </si>
  <si>
    <t>Margem EBITDA</t>
  </si>
  <si>
    <t>4T16</t>
  </si>
  <si>
    <t>1T17</t>
  </si>
  <si>
    <t>Outras obrigações</t>
  </si>
  <si>
    <t>2T17</t>
  </si>
  <si>
    <t>3T17</t>
  </si>
  <si>
    <t>Impostos a recuperar</t>
  </si>
  <si>
    <t>Juros pagos</t>
  </si>
  <si>
    <t>4T17</t>
  </si>
  <si>
    <t>1T18</t>
  </si>
  <si>
    <t>-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</si>
  <si>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</si>
  <si>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</si>
  <si>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</si>
  <si>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</si>
  <si>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</si>
  <si>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</si>
  <si>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</si>
  <si>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</si>
  <si>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</si>
  <si>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</si>
  <si>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</si>
  <si>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</si>
  <si>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mil tonelada</t>
  </si>
  <si>
    <t>Mercado total Brasil</t>
  </si>
  <si>
    <t>Market Share</t>
  </si>
  <si>
    <t>R$/ton</t>
  </si>
  <si>
    <t>Volume de Vendas de Cimento</t>
  </si>
  <si>
    <t>Cash Cost Total</t>
  </si>
  <si>
    <t>Não Recorrentes</t>
  </si>
  <si>
    <t>EBITDA Ajustado</t>
  </si>
  <si>
    <t>Margem EBITDA Ajustado</t>
  </si>
  <si>
    <t>EBITDA Ajustado ex. IFRS16</t>
  </si>
  <si>
    <t>Margem EBITDA Ajustado ex. IFRS16</t>
  </si>
  <si>
    <t>DAGs &amp; Despesas com Vendas</t>
  </si>
  <si>
    <t>Margem Lucro Bruto</t>
  </si>
  <si>
    <t>DAGs</t>
  </si>
  <si>
    <t>% de Receita Líquida</t>
  </si>
  <si>
    <t>EBITDA Ajustado/ Volume de Vendas</t>
  </si>
  <si>
    <t>Caixa</t>
  </si>
  <si>
    <t>Divida Bruta</t>
  </si>
  <si>
    <t>Dívida Líquida</t>
  </si>
  <si>
    <t>x</t>
  </si>
  <si>
    <t>USD/ton</t>
  </si>
  <si>
    <t>Alavancagem (Dívida Líquida/ EBITDA Ajustado LTM)</t>
  </si>
  <si>
    <t>Venda de Produtos</t>
  </si>
  <si>
    <t>Serviços Prestados</t>
  </si>
  <si>
    <t>Impostos sobre Vendas</t>
  </si>
  <si>
    <t>Abatimentos/ Descontos</t>
  </si>
  <si>
    <r>
      <t xml:space="preserve">Venda de Produtos/ Volume de Vendas </t>
    </r>
    <r>
      <rPr>
        <sz val="8"/>
        <color theme="1"/>
        <rFont val="Verdana"/>
        <family val="2"/>
      </rPr>
      <t>(proxy price)</t>
    </r>
  </si>
  <si>
    <t>Custo das vendas e dos serviços</t>
  </si>
  <si>
    <t>Custo Variável</t>
  </si>
  <si>
    <t>Custo Fixo</t>
  </si>
  <si>
    <t>Depreciação/ Amortização</t>
  </si>
  <si>
    <t>Lucro Prejuízo Bruto</t>
  </si>
  <si>
    <t>Despesas administrativas e comerciais</t>
  </si>
  <si>
    <t>Equivalência patrimonial</t>
  </si>
  <si>
    <t>Outras receitas operacionais, líquidas</t>
  </si>
  <si>
    <t>Despesas com Vendas</t>
  </si>
  <si>
    <t>Lucro (prejuízo) antes do resultado financeiro e impostos</t>
  </si>
  <si>
    <t>Variação cambial</t>
  </si>
  <si>
    <t>Receitas financeiras</t>
  </si>
  <si>
    <t>Despesas financeiras</t>
  </si>
  <si>
    <t>Lucro (Prejuízo) antes do imposto de renda e da contribuição social</t>
  </si>
  <si>
    <t>Imposto de renda e contribuição social</t>
  </si>
  <si>
    <t>Lucro (Prejuízo) do período</t>
  </si>
  <si>
    <t>Controladora</t>
  </si>
  <si>
    <t>Não controladores</t>
  </si>
  <si>
    <t>USD/ BRL médio</t>
  </si>
  <si>
    <t>Lucros (Prejuízo) antes do imposto de renda e da contribuição social</t>
  </si>
  <si>
    <t>Depreciação, amortização e exaustão</t>
  </si>
  <si>
    <t>Amortização direito de uso em arrendamentos</t>
  </si>
  <si>
    <t>Resultado de equivalência patrimonial</t>
  </si>
  <si>
    <t>Reversão de provisões para perdas eventuais, líquidas</t>
  </si>
  <si>
    <t>Recuperação de impostos</t>
  </si>
  <si>
    <t>Provisão para perdas estoques</t>
  </si>
  <si>
    <t>Juros, encargos provisionados e variações cambiais</t>
  </si>
  <si>
    <t>Ganho na venda de ativo imobilizado</t>
  </si>
  <si>
    <t>Baixa de ativo imobilizado</t>
  </si>
  <si>
    <t>Ajuste ao valor recuperável</t>
  </si>
  <si>
    <t>Partes relacionadas</t>
  </si>
  <si>
    <t>Contas a receber de clientes</t>
  </si>
  <si>
    <t>Estoques</t>
  </si>
  <si>
    <t>Outros créditos</t>
  </si>
  <si>
    <t>Redução (aumento) nos ativos operacionais</t>
  </si>
  <si>
    <t>Salários e férias e encargos sociais</t>
  </si>
  <si>
    <t>Outras obrigações e contas a pagar</t>
  </si>
  <si>
    <t>Impostos e obrigações a pagar</t>
  </si>
  <si>
    <t>Aumento (redução) nos passivos operacionais</t>
  </si>
  <si>
    <t>Processos judiciais pagos</t>
  </si>
  <si>
    <t>Caixa líquido aplicado (gerados pelas) nas atividades operacionais</t>
  </si>
  <si>
    <t>Aplicações em títulos e valores mobiliários, líquidas</t>
  </si>
  <si>
    <t>Aquisição de imobilizado</t>
  </si>
  <si>
    <t>Adições ao intangível</t>
  </si>
  <si>
    <t>Aumento do investimento</t>
  </si>
  <si>
    <t>Recebimento pela venda de ativo imobilizado</t>
  </si>
  <si>
    <t>Caixa líquido aplicado nas atividades de investimento</t>
  </si>
  <si>
    <t>Pagamentos de empréstimos, financiamentos e debêntures</t>
  </si>
  <si>
    <t>Contraprestação de arrendamentos</t>
  </si>
  <si>
    <t>Caixa líquido aplicado nas atividades de financiamento</t>
  </si>
  <si>
    <t>Redução (aumento) de caixa e equivalentes de caixa</t>
  </si>
  <si>
    <t>Caixa e equivalentes de caixa no início do exercício</t>
  </si>
  <si>
    <t>Caixa e equivalentes de caixa no fim do exercício</t>
  </si>
  <si>
    <t>Títulos e valores mobiliários</t>
  </si>
  <si>
    <t>Depósitos judiciais</t>
  </si>
  <si>
    <t>Instrumentos financeiros derivativos</t>
  </si>
  <si>
    <t>Propriedade para Investimentos</t>
  </si>
  <si>
    <t>Investimentos:</t>
  </si>
  <si>
    <t>Em controladas</t>
  </si>
  <si>
    <t>Outros</t>
  </si>
  <si>
    <t>Direito de uso em arrendamentos</t>
  </si>
  <si>
    <t>Intangível:</t>
  </si>
  <si>
    <t>Ágio</t>
  </si>
  <si>
    <t>Outros intangíveis</t>
  </si>
  <si>
    <t xml:space="preserve">Fornecedores </t>
  </si>
  <si>
    <t>Debêntures</t>
  </si>
  <si>
    <t>Empréstimos e financiamentos</t>
  </si>
  <si>
    <t>Juros a pagar</t>
  </si>
  <si>
    <t>Salários e encargos sociais</t>
  </si>
  <si>
    <t>Dividendos a pagar</t>
  </si>
  <si>
    <t>Adiantamentos de clientes</t>
  </si>
  <si>
    <t>Passivos de arrendamento</t>
  </si>
  <si>
    <t>Provisão para riscos tributários, cíveis e trabalhistas</t>
  </si>
  <si>
    <t>Provisão para reconstituição ambiental e descomissionamento de ativos</t>
  </si>
  <si>
    <t>Imposto de renda e contribuição social diferidos</t>
  </si>
  <si>
    <t>Patrimônio líquido atribuível a proprietários da controladora</t>
  </si>
  <si>
    <t>Reservas de incentivos fiscais</t>
  </si>
  <si>
    <t>Ajustes de avaliação patrimonial</t>
  </si>
  <si>
    <t>Prejuízos acumulados</t>
  </si>
  <si>
    <t xml:space="preserve">Total do patrimônio líquido </t>
  </si>
  <si>
    <t>Participação não controladores</t>
  </si>
  <si>
    <t>Cash Cost Total/ Volume de Vendas</t>
  </si>
  <si>
    <t>Cash Cost Cimento</t>
  </si>
  <si>
    <t>Cash Cost Cimentol/ Volume de Vensas</t>
  </si>
  <si>
    <t>Cash Gross Profit Cimento</t>
  </si>
  <si>
    <t>Indicadores Operacionais e Financeiros</t>
  </si>
  <si>
    <t>Frete sobre as vendas</t>
  </si>
  <si>
    <t>Outros Ativos</t>
  </si>
  <si>
    <t>Recebimento pela venda de investimento</t>
  </si>
  <si>
    <t>Recebimento de empréstimos com partes relacionadas</t>
  </si>
  <si>
    <t xml:space="preserve">Gastos com emissões de debêntures </t>
  </si>
  <si>
    <t>Pagamento de juros sobre capital próprio e dividendos</t>
  </si>
  <si>
    <t>Instrumentos financeiros</t>
  </si>
  <si>
    <t>Variação Cambial e Equivalentes de Caixa</t>
  </si>
  <si>
    <t xml:space="preserve">Integralização de capital </t>
  </si>
  <si>
    <t>Transações com acionistas</t>
  </si>
  <si>
    <t>Dividendos Recebidos</t>
  </si>
  <si>
    <t>Captação de Empréstimos, Financiamentos e Debêntures</t>
  </si>
  <si>
    <t>Caixa líquido decorrente de incorporação</t>
  </si>
  <si>
    <t>Resultado na operação com derivativos</t>
  </si>
  <si>
    <t>Resgate de swap</t>
  </si>
  <si>
    <t>Adiantamento pela venda de ações</t>
  </si>
  <si>
    <t>2T21</t>
  </si>
  <si>
    <t>3T21</t>
  </si>
  <si>
    <t>EBITDA Ajustado LTM</t>
  </si>
  <si>
    <t>Outras contas a receber</t>
  </si>
  <si>
    <t>Outros Investimentos</t>
  </si>
  <si>
    <t>Dividendos e JCP a pagar</t>
  </si>
  <si>
    <t>Redução (aumento) nos ativos/passivos operacionais</t>
  </si>
  <si>
    <t>Partes relacionadas (passivo)</t>
  </si>
  <si>
    <t>Partes relacionadas (ativo)</t>
  </si>
  <si>
    <t>IR e CS diferidos</t>
  </si>
  <si>
    <t>Partes Relacionadas</t>
  </si>
  <si>
    <t>Endividamento &amp; Alavancagem</t>
  </si>
  <si>
    <t>Caixa &amp; Equivalentes &amp; Instrumento financeiro derivativos</t>
  </si>
  <si>
    <t>4T21</t>
  </si>
  <si>
    <t>Reserva Legal</t>
  </si>
  <si>
    <t>Reserva de Lucros</t>
  </si>
  <si>
    <t>Provisão para riscos cíveis, trabalhistas e tributários</t>
  </si>
  <si>
    <t>Repactuação do risco hidrológico</t>
  </si>
  <si>
    <t>1T22</t>
  </si>
  <si>
    <t>2T22</t>
  </si>
  <si>
    <t>3T22</t>
  </si>
  <si>
    <t>4T22</t>
  </si>
  <si>
    <t>Pagamento pela aquisição de ações de controlada</t>
  </si>
  <si>
    <t>Redução de capital (minoritários)</t>
  </si>
  <si>
    <r>
      <t xml:space="preserve">Dívida Líquida </t>
    </r>
    <r>
      <rPr>
        <sz val="10"/>
        <color theme="1" tint="0.34998626667073579"/>
        <rFont val="Calibri"/>
        <family val="2"/>
        <scheme val="minor"/>
      </rPr>
      <t>(considerando mútuo com ICP como caixa)</t>
    </r>
  </si>
  <si>
    <r>
      <t xml:space="preserve">Alavancagem (Dívida Líquida/ EBITDA Ajustado LTM) </t>
    </r>
    <r>
      <rPr>
        <sz val="10"/>
        <color theme="1" tint="0.34998626667073579"/>
        <rFont val="Calibri"/>
        <family val="2"/>
        <scheme val="minor"/>
      </rPr>
      <t>(incluindo mútuo)</t>
    </r>
  </si>
  <si>
    <t>Outros Ativos / Créditos</t>
  </si>
  <si>
    <t>Juros pagos (recebidos)</t>
  </si>
  <si>
    <t>1T23</t>
  </si>
  <si>
    <t>2T23</t>
  </si>
  <si>
    <t>3T23</t>
  </si>
  <si>
    <t>4T23</t>
  </si>
  <si>
    <t>Recebimento de juros sobre empréstimo concedido</t>
  </si>
  <si>
    <t>Bens destinados à venda</t>
  </si>
  <si>
    <t>1T24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</si>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</sst>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3"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.0%"/>
    <numFmt numFmtId="173" formatCode="_-* #,##0_-;\-* #,##0_-;_-* &quot;-&quot;??_-;_-@_-"/>
    <numFmt numFmtId="174" formatCode="_(* #,##0.0_);_(* \(#,##0.0\);_(* &quot;-&quot;??_);_(@_)"/>
    <numFmt numFmtId="175" formatCode="[$USD]\ #,##0.0000"/>
    <numFmt numFmtId="176" formatCode="0.0"/>
    <numFmt numFmtId="177" formatCode="General_)"/>
    <numFmt numFmtId="178" formatCode="#,###\-"/>
    <numFmt numFmtId="179" formatCode="#,##0%"/>
    <numFmt numFmtId="180" formatCode="#,##0.0%"/>
    <numFmt numFmtId="181" formatCode="#,##0.0\ ;\(#,##0.0\)"/>
    <numFmt numFmtId="182" formatCode="&quot;R$ &quot;#,##0.00;\(&quot;R$ &quot;#,##0.00\)"/>
    <numFmt numFmtId="183" formatCode="\$\ #,##0"/>
    <numFmt numFmtId="184" formatCode="\$\ #,##0.0"/>
    <numFmt numFmtId="185" formatCode="\$\ #,##0.00"/>
    <numFmt numFmtId="186" formatCode="m/d"/>
    <numFmt numFmtId="187" formatCode="0.0_)\%;\(0.0\)\%;0.0_)\%;@_)_%"/>
    <numFmt numFmtId="188" formatCode="#,##0.0_)_%;\(#,##0.0\)_%;0.0_)_%;@_)_%"/>
    <numFmt numFmtId="189" formatCode="#,##0.0_);\(#,##0.0\)"/>
    <numFmt numFmtId="190" formatCode="#,##0.0_);\(#,##0.0\);#,##0.0_);@_)"/>
    <numFmt numFmtId="191" formatCode="&quot;R$ &quot;_(#,##0.00_);&quot;R$ &quot;\(#,##0.00\)"/>
    <numFmt numFmtId="192" formatCode="&quot;$&quot;_(#,##0.00_);&quot;$&quot;\(#,##0.00\);&quot;$&quot;_(0.00_);@_)"/>
    <numFmt numFmtId="193" formatCode="&quot;$&quot;_(#,##0.00_);&quot;$&quot;\(#,##0.00\)"/>
    <numFmt numFmtId="194" formatCode="0.00000000000"/>
    <numFmt numFmtId="195" formatCode="#,##0.00_);\(#,##0.00\);0.00_);@_)"/>
    <numFmt numFmtId="196" formatCode="\€_(#,##0.00_);\€\(#,##0.00\);\€_(0.00_);@_)"/>
    <numFmt numFmtId="197" formatCode="#,##0.0_)\x;\(#,##0.0\)\x"/>
    <numFmt numFmtId="198" formatCode="#,##0_)\x;\(#,##0\)\x;0_)\x;@_)_x"/>
    <numFmt numFmtId="199" formatCode="0.000000000000"/>
    <numFmt numFmtId="200" formatCode="_-&quot;¤&quot;* #,##0_-;\-&quot;¤&quot;* #,##0_-;_-&quot;¤&quot;* &quot;-&quot;_-;_-@_-"/>
    <numFmt numFmtId="201" formatCode="#,##0.0_)_x;\(#,##0.0\)_x"/>
    <numFmt numFmtId="202" formatCode="#,##0_)_x;\(#,##0\)_x;0_)_x;@_)_x"/>
    <numFmt numFmtId="203" formatCode="0.0000000000000"/>
    <numFmt numFmtId="204" formatCode="#,##0;[Red]\(#,##0\)"/>
    <numFmt numFmtId="205" formatCode="0.0_)\%;\(0.0\)\%"/>
    <numFmt numFmtId="206" formatCode="0.0%_);\(0.0%\)"/>
    <numFmt numFmtId="207" formatCode="#,##0.0_)_%;\(#,##0.0\)_%"/>
    <numFmt numFmtId="208" formatCode="0.000000000000000"/>
    <numFmt numFmtId="209" formatCode="0.000"/>
    <numFmt numFmtId="210" formatCode="_(&quot;R$ &quot;* #,##0.00_);_(&quot;R$ &quot;* \(#,##0.00\);_(&quot;R$ &quot;* &quot;-&quot;??_);_(@_)"/>
    <numFmt numFmtId="211" formatCode="_(&quot;R$ &quot;* #,##0_);_(&quot;R$ &quot;* \(#,##0\);_(&quot;R$ &quot;* &quot;-&quot;_);_(@_)"/>
    <numFmt numFmtId="212" formatCode="\£\ #,##0_);[Red]\(\£\ #,##0\)"/>
    <numFmt numFmtId="213" formatCode="&quot;£&quot;\ #,##0"/>
    <numFmt numFmtId="214" formatCode="&quot;£&quot;\ #,##0.0"/>
    <numFmt numFmtId="215" formatCode="&quot;£&quot;\ #,##0.00"/>
    <numFmt numFmtId="216" formatCode="\¥\ #,##0_);[Red]\(\¥\ #,##0\)"/>
    <numFmt numFmtId="217" formatCode="mmmmddyyyy"/>
    <numFmt numFmtId="218" formatCode="yyyymmmmdd"/>
    <numFmt numFmtId="219" formatCode="#,##0.000_);\(#,##0.000\)"/>
    <numFmt numFmtId="220" formatCode="&quot;$&quot;#,##0.000_);[Red]\(&quot;$&quot;#,##0.000\)"/>
    <numFmt numFmtId="221" formatCode="#,##0.0000_);[Red]\(#,##0.0000\)"/>
    <numFmt numFmtId="222" formatCode="&quot;R$ &quot;#,##0.000_);[Red]\(&quot;R$ &quot;#,##0.000\)"/>
    <numFmt numFmtId="223" formatCode="dd\-mmm\-yy"/>
    <numFmt numFmtId="224" formatCode="0.0000"/>
    <numFmt numFmtId="225" formatCode="0.0%;\(0.0%\)"/>
    <numFmt numFmtId="226" formatCode="#,##0.0_);[Red]\(#,##0.0\)"/>
    <numFmt numFmtId="227" formatCode="#\ ###\ ###\ ##0\ "/>
    <numFmt numFmtId="228" formatCode="\•\ \ @"/>
    <numFmt numFmtId="229" formatCode="#,##0\x"/>
    <numFmt numFmtId="230" formatCode="#,##0.0\x"/>
    <numFmt numFmtId="231" formatCode="#,##0.00\x"/>
    <numFmt numFmtId="232" formatCode="0.0000&quot;  &quot;"/>
    <numFmt numFmtId="233" formatCode="0.00000&quot;  &quot;"/>
    <numFmt numFmtId="234" formatCode="m/d/yy\ hh:mm"/>
    <numFmt numFmtId="235" formatCode="_(* #,##0_);_(* \(#,##0\);_(* &quot;-&quot;???_);_(@_)"/>
    <numFmt numFmtId="236" formatCode="#,##0\ &quot;FB&quot;;[Red]\-#,##0\ &quot;FB&quot;"/>
    <numFmt numFmtId="237" formatCode="_(* #,##0.0000_);_(* \(#,##0.0000\);_(* &quot;-&quot;????_);_(@_)"/>
    <numFmt numFmtId="238" formatCode="##&quot;.&quot;##&quot;.&quot;####"/>
    <numFmt numFmtId="239" formatCode="0.000_)"/>
    <numFmt numFmtId="240" formatCode="#,##0.0;\(#,##0.0\)"/>
    <numFmt numFmtId="241" formatCode="#,##0_%_);\(#,##0\)_%;#,##0_%_);@_%_)"/>
    <numFmt numFmtId="242" formatCode="#,##0_%_);\(#,##0\)_%;**;@_%_)"/>
    <numFmt numFmtId="243" formatCode="_._.* #,##0.0_)_%;_._.* \(#,##0.0\)_%;_._.* \ .0_)_%"/>
    <numFmt numFmtId="244" formatCode="_._.* #,##0.000_)_%;_._.* \(#,##0.000\)_%;_._.* \ .000_)_%"/>
    <numFmt numFmtId="245" formatCode="0.0\x"/>
    <numFmt numFmtId="246" formatCode="#,##0."/>
    <numFmt numFmtId="247" formatCode="0.00_);\(0.00\);0.00"/>
    <numFmt numFmtId="248" formatCode="&quot;$&quot;#,##0.0_);[Red]\(&quot;$&quot;#,##0.0\)"/>
    <numFmt numFmtId="249" formatCode="&quot;$&quot;#,##0_%_);\(&quot;$&quot;#,##0\)_%;&quot;$&quot;#,##0_%_);@_%_)"/>
    <numFmt numFmtId="250" formatCode="_._.&quot;R$ &quot;* #,##0.0_)_%;_._.&quot;R$ &quot;* \(#,##0.0\)_%;_._.&quot;R$ &quot;* \ .0_)_%"/>
    <numFmt numFmtId="251" formatCode="&quot;R$ &quot;* #,##0.00_);&quot;R$ &quot;* \(#,##0.00\)"/>
    <numFmt numFmtId="252" formatCode="_._.&quot;R$ &quot;* #,##0.000_)_%;_._.&quot;R$ &quot;* \(#,##0.000\)_%;_._.&quot;R$ &quot;* \ .000_)_%"/>
    <numFmt numFmtId="253" formatCode="_(&quot;$&quot;* #,##0.0_);_(&quot;$&quot;* \(#,##0.0\);_(&quot;$&quot;* &quot;-&quot;??_);_(@_)"/>
    <numFmt numFmtId="254" formatCode="\$#,##0\ ;\(\$#,##0\)"/>
    <numFmt numFmtId="255" formatCode="\ \ _•\–\ \ \ \ @"/>
    <numFmt numFmtId="256" formatCode="#,##0.0000000_);\(#,##0.0000000\)"/>
    <numFmt numFmtId="257" formatCode="0.0%_)"/>
    <numFmt numFmtId="258" formatCode="0.00000_);\(0.00000\)"/>
    <numFmt numFmtId="259" formatCode="m/d/yy_%_)"/>
    <numFmt numFmtId="260" formatCode="&quot;R$ &quot;#,##0.00_);[Red]\(&quot;R$ &quot;#,##0.00\)"/>
    <numFmt numFmtId="261" formatCode="&quot;R$ &quot;#,##0_);[Red]\(&quot;R$ &quot;#,##0\)"/>
    <numFmt numFmtId="262" formatCode="&quot;R$ &quot;#,##0.0;[Red]\(&quot;R$ &quot;#,##0.0\)"/>
    <numFmt numFmtId="263" formatCode="&quot;R$ &quot;#,##0_);\(&quot;R$ &quot;#,##0\)"/>
    <numFmt numFmtId="264" formatCode="0_%_);\(0\)_%;0_%_);@_%_)"/>
    <numFmt numFmtId="265" formatCode="&quot;R$ &quot;#,##0.00_);\(&quot;R$ &quot;#,##0.00\)"/>
    <numFmt numFmtId="266" formatCode="_([$€-2]* #,##0.00_);_([$€-2]* \(#,##0.00\);_([$€-2]* &quot;-&quot;??_)"/>
    <numFmt numFmtId="267" formatCode="0.0000%"/>
    <numFmt numFmtId="268" formatCode="0.000000000"/>
    <numFmt numFmtId="269" formatCode=";;;"/>
    <numFmt numFmtId="270" formatCode="0.0\%_);\(0.0\%\);0.0\%_);@_%_)"/>
    <numFmt numFmtId="271" formatCode="&quot;HK$&quot;#,##0"/>
    <numFmt numFmtId="272" formatCode="&quot;HK$&quot;#,##0.00"/>
    <numFmt numFmtId="273" formatCode="#,##0.000_);[Red]\(#,##0.000\)"/>
    <numFmt numFmtId="274" formatCode="&quot;$&quot;#,##0.0_);\(&quot;$&quot;#,##0.0\)"/>
    <numFmt numFmtId="275" formatCode="0.0_);\(0.0\)"/>
    <numFmt numFmtId="276" formatCode=";;"/>
    <numFmt numFmtId="277" formatCode="0.00_);\(0.00\)"/>
    <numFmt numFmtId="278" formatCode="#,##0.0&quot;x&quot;"/>
    <numFmt numFmtId="279" formatCode="mmm\-yy_)"/>
    <numFmt numFmtId="280" formatCode="0.0\ \x"/>
    <numFmt numFmtId="281" formatCode="\(0\)"/>
    <numFmt numFmtId="282" formatCode="#,##0.00000_);\(#,##0.00000\)"/>
    <numFmt numFmtId="283" formatCode="0.00_)"/>
    <numFmt numFmtId="284" formatCode="hh:mm:ss\ AM/PM_)"/>
    <numFmt numFmtId="285" formatCode="&quot;$&quot;#,##0.0_);\(&quot;$&quot;#,##0.00\)"/>
    <numFmt numFmtId="286" formatCode="#,##0.000000_);\(#,##0.000000\)"/>
    <numFmt numFmtId="287" formatCode="0.000000"/>
    <numFmt numFmtId="288" formatCode="_(0_)%;\(0\)%;\ \ _)\%"/>
    <numFmt numFmtId="289" formatCode="_._._(* 0_)%;_._.\(* 0\)%;_._._(* \ _)\%"/>
    <numFmt numFmtId="290" formatCode="&quot;R$ &quot;\ #,##0.00;[Red]&quot;R$ &quot;\ \-#,##0.00"/>
    <numFmt numFmtId="291" formatCode="0.000_);\(0.000\)"/>
    <numFmt numFmtId="292" formatCode="_(* #,##0.0_);_(* \(#,##0.0\);_(* &quot;-&quot;????_);_(@_)"/>
    <numFmt numFmtId="293" formatCode="_(0.0_)%;\(0.0\)%;\ \ .0_)%"/>
    <numFmt numFmtId="294" formatCode="_._._(* 0.0_)%;_._.\(* 0.0\)%;_._._(* \ .0_)%"/>
    <numFmt numFmtId="295" formatCode="_ * #,##0_ ;_ * \-#,##0_ ;_ * &quot;-&quot;_ ;_ @_ "/>
    <numFmt numFmtId="296" formatCode="_(0.00_)%;\(0.00\)%;\ \ .00_)%"/>
    <numFmt numFmtId="297" formatCode="_._._(* 0.00_)%;_._.\(* 0.00\)%;_._._(* \ .00_)%"/>
    <numFmt numFmtId="298" formatCode="_ * #,##0.00_ ;_ * \-#,##0.00_ ;_ * &quot;-&quot;??_ ;_ @_ "/>
    <numFmt numFmtId="299" formatCode="_(0.000_)%;\(0.000\)%;\ \ .000_)%"/>
    <numFmt numFmtId="300" formatCode="_._._(* 0.000_)%;_._.\(* 0.000\)%;_._._(* \ .000_)%"/>
    <numFmt numFmtId="301" formatCode="&quot;R&quot;\ #,##0;[Red]&quot;R&quot;\ \-#,##0"/>
    <numFmt numFmtId="302" formatCode="0.0%;[Red]\-0.0%"/>
    <numFmt numFmtId="303" formatCode="0.00%;[Red]\-0.00%"/>
    <numFmt numFmtId="304" formatCode="0%;\(0%\)"/>
    <numFmt numFmtId="305" formatCode="0.00\%;\-0.00\%;0.00\%"/>
    <numFmt numFmtId="306" formatCode="mmmm\ d\,\ yyyy"/>
    <numFmt numFmtId="307" formatCode="#,##0_);\(#,##0\);0_)"/>
    <numFmt numFmtId="308" formatCode="#,##0_);\(#,##0\);0_);@"/>
    <numFmt numFmtId="309" formatCode="0.00\x;\-0.00\x;0.00\x"/>
    <numFmt numFmtId="310" formatCode="##0.00000"/>
    <numFmt numFmtId="311" formatCode="#,##0_)_%;\(#,##0\)_%"/>
    <numFmt numFmtId="312" formatCode="mmm\ dd\,\ yyyy"/>
    <numFmt numFmtId="313" formatCode="_(* &quot;-&quot;\ _);\(_@_)"/>
    <numFmt numFmtId="314" formatCode="_(* #,##0.000_);_(* \(#,##0.000\);_(* &quot;-&quot;????_);_(@_)"/>
    <numFmt numFmtId="315" formatCode="_(* #,##0.00_);_(* \(#,##0.00\);_(* &quot;-&quot;????_);_(@_)"/>
    <numFmt numFmtId="316" formatCode="#0.0\x"/>
    <numFmt numFmtId="317" formatCode="&quot;US$&quot;#,##0"/>
    <numFmt numFmtId="318" formatCode="&quot;US$&quot;#,##0.00"/>
    <numFmt numFmtId="319" formatCode="#,##0.0000"/>
    <numFmt numFmtId="320" formatCode="_-&quot;£&quot;* #,##0_-;\-&quot;£&quot;* #,##0_-;_-&quot;£&quot;* &quot;-&quot;_-;_-@_-"/>
    <numFmt numFmtId="321" formatCode="_-&quot;£&quot;* #,##0.00_-;\-&quot;£&quot;* #,##0.00_-;_-&quot;£&quot;* &quot;-&quot;??_-;_-@_-"/>
    <numFmt numFmtId="322" formatCode="_-* #,##0\ &quot;zł&quot;_-;\-* #,##0\ &quot;zł&quot;_-;_-* &quot;-&quot;\ &quot;zł&quot;_-;_-@_-"/>
    <numFmt numFmtId="323" formatCode="_-* #,##0.00\ &quot;zł&quot;_-;\-* #,##0.00\ &quot;zł&quot;_-;_-* &quot;-&quot;??\ &quot;zł&quot;_-;_-@_-"/>
    <numFmt numFmtId="324" formatCode="0.0%\ ;\(0.0\)%"/>
    <numFmt numFmtId="325" formatCode="&quot;R$ &quot;#,##0.0"/>
    <numFmt numFmtId="326" formatCode="&quot;$&quot;#,##0.0"/>
    <numFmt numFmtId="327" formatCode="&quot;R$ &quot;#,##0\ \ \ "/>
    <numFmt numFmtId="328" formatCode="&quot;$&quot;#,##0\ \ \ "/>
    <numFmt numFmtId="329" formatCode="&quot;R$ &quot;#,##0\ \ \ \ "/>
    <numFmt numFmtId="330" formatCode="&quot;$&quot;#,##0\ \ \ \ "/>
    <numFmt numFmtId="331" formatCode="_(* #,##0_);_(* \(#,##0\);_(* \ _)"/>
    <numFmt numFmtId="332" formatCode="_(* #,##0.0_);_(* \(#,##0.0\);_(* \ .0_)"/>
    <numFmt numFmtId="333" formatCode="_(* #,##0.00_);_(* \(#,##0.00\);_(* \ .00_)"/>
    <numFmt numFmtId="334" formatCode="_(* #,##0.000_);_(* \(#,##0.000\);_(* \ .000_)"/>
    <numFmt numFmtId="335" formatCode="&quot;R&quot;\ #,##0.00;[Red]&quot;R&quot;\ \-#,##0.00"/>
    <numFmt numFmtId="336" formatCode="_(&quot;R$ &quot;* #,##0_);_(&quot;R$ &quot;* \(#,##0\);_(&quot;R$ &quot;* \ _)"/>
    <numFmt numFmtId="337" formatCode="_(&quot;R$ &quot;* #,##0.0_);_(&quot;R$ &quot;* \(#,##0.0\);_(&quot;R$ &quot;* \ .0_)"/>
    <numFmt numFmtId="338" formatCode="_(&quot;R$ &quot;* #,##0.00_);_(&quot;R$ &quot;* \(#,##0.00\);_(&quot;R$ &quot;* \ .00_)"/>
    <numFmt numFmtId="339" formatCode="_(&quot;R$ &quot;* #,##0.000_);_(&quot;R$ &quot;* \(#,##0.000\);_(&quot;R$ &quot;* \ .000_)"/>
    <numFmt numFmtId="340" formatCode="0.0_)%;\(0.0\)%"/>
    <numFmt numFmtId="341" formatCode="0&quot;E&quot;"/>
    <numFmt numFmtId="342" formatCode="_ &quot;\&quot;* #,##0_ ;_ &quot;\&quot;* \-#,##0_ ;_ &quot;\&quot;* &quot;-&quot;_ ;_ @_ "/>
    <numFmt numFmtId="343" formatCode="_ &quot;\&quot;* #,##0.00_ ;_ &quot;\&quot;* \-#,##0.00_ ;_ &quot;\&quot;* &quot;-&quot;??_ ;_ @_ "/>
    <numFmt numFmtId="344" formatCode="_-&quot;$&quot;* #,##0_-;\-&quot;$&quot;* #,##0_-;_-&quot;$&quot;* &quot;-&quot;_-;_-@_-"/>
    <numFmt numFmtId="345" formatCode="_-&quot;$&quot;* #,##0.00_-;\-&quot;$&quot;* #,##0.00_-;_-&quot;$&quot;* &quot;-&quot;??_-;_-@_-"/>
    <numFmt numFmtId="346" formatCode="_-* #,##0.000_-;\-* #,##0.000_-;_-* &quot;-&quot;??_-;_-@_-"/>
    <numFmt numFmtId="347" formatCode="0.00000%"/>
    <numFmt numFmtId="348" formatCode="dd/mm"/>
    <numFmt numFmtId="349" formatCode="0.0_)"/>
    <numFmt numFmtId="350" formatCode="###0"/>
    <numFmt numFmtId="351" formatCode="_(* #,##0.0000000000000_);_(* \(#,##0.0000000000000\);_(* &quot;-&quot;??_);_(@_)"/>
    <numFmt numFmtId="352" formatCode="0%\);[Red]\(0%"/>
    <numFmt numFmtId="353" formatCode="mmmm"/>
    <numFmt numFmtId="354" formatCode="_(* #,##0.000000000_);_(* \(#,##0.000000000\);_(* &quot;-&quot;??_);_(@_)"/>
    <numFmt numFmtId="355" formatCode="_(&quot;R$&quot;* #,##0.00_);_(&quot;R$&quot;* \(#,##0.00\);_(&quot;R$&quot;* &quot;-&quot;??_);_(@_)"/>
  </numFmts>
  <fonts count="280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??"/>
      <family val="1"/>
      <charset val="128"/>
    </font>
    <font>
      <u/>
      <sz val="8.4"/>
      <color indexed="12"/>
      <name val="Arial"/>
      <family val="2"/>
    </font>
    <font>
      <sz val="14"/>
      <name val="Terminal"/>
      <family val="3"/>
      <charset val="128"/>
    </font>
    <font>
      <sz val="10"/>
      <name val="Helv"/>
      <family val="2"/>
    </font>
    <font>
      <b/>
      <sz val="22"/>
      <color indexed="1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  <charset val="177"/>
    </font>
    <font>
      <sz val="10"/>
      <color indexed="10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5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 MT"/>
    </font>
    <font>
      <sz val="8"/>
      <name val="MS Sans Serif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Tms Rmn"/>
    </font>
    <font>
      <b/>
      <sz val="12"/>
      <name val="Times New Roman"/>
      <family val="1"/>
    </font>
    <font>
      <sz val="8"/>
      <color indexed="8"/>
      <name val="Times New Roman"/>
      <family val="1"/>
    </font>
    <font>
      <b/>
      <sz val="10"/>
      <color indexed="43"/>
      <name val="Arial CYR"/>
      <family val="2"/>
      <charset val="204"/>
    </font>
    <font>
      <sz val="11"/>
      <name val="Times New Roman"/>
      <family val="1"/>
    </font>
    <font>
      <sz val="8"/>
      <name val="Tahoma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8"/>
      <color indexed="12"/>
      <name val="Helv"/>
    </font>
    <font>
      <sz val="12"/>
      <color indexed="12"/>
      <name val="Times New Roman"/>
      <family val="1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sz val="10"/>
      <color indexed="8"/>
      <name val="Book Antiqua"/>
      <family val="1"/>
    </font>
    <font>
      <sz val="8"/>
      <name val="Geneva"/>
    </font>
    <font>
      <sz val="8"/>
      <color indexed="12"/>
      <name val="Tms Rmn"/>
      <family val="1"/>
    </font>
    <font>
      <sz val="10"/>
      <color indexed="12"/>
      <name val="MS Sans Serif"/>
      <family val="2"/>
    </font>
    <font>
      <b/>
      <sz val="11"/>
      <name val="Arial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Times New Roman"/>
      <family val="1"/>
    </font>
    <font>
      <sz val="7"/>
      <name val="SwitzerlandLight"/>
    </font>
    <font>
      <b/>
      <sz val="12"/>
      <name val="Helv"/>
    </font>
    <font>
      <sz val="32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Times"/>
      <family val="1"/>
    </font>
    <font>
      <sz val="10"/>
      <color indexed="10"/>
      <name val="Haettenschweiler"/>
      <family val="2"/>
    </font>
    <font>
      <sz val="9"/>
      <color indexed="10"/>
      <name val="Geneva"/>
    </font>
    <font>
      <sz val="10"/>
      <color indexed="18"/>
      <name val="Times New Roman"/>
      <family val="1"/>
    </font>
    <font>
      <sz val="9"/>
      <name val="Haettenschweiler"/>
      <family val="2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Univers (E1)"/>
    </font>
    <font>
      <sz val="10"/>
      <name val="BERNHARD"/>
    </font>
    <font>
      <sz val="10"/>
      <name val="Helv"/>
    </font>
    <font>
      <b/>
      <i/>
      <sz val="10"/>
      <name val="Arial"/>
      <family val="2"/>
    </font>
    <font>
      <sz val="24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2"/>
      <color indexed="8"/>
      <name val="Book Antiqua"/>
      <family val="1"/>
    </font>
    <font>
      <sz val="7.5"/>
      <color indexed="9"/>
      <name val="Arial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name val="Tms Rmn"/>
    </font>
    <font>
      <b/>
      <sz val="1"/>
      <color indexed="8"/>
      <name val="Courier"/>
      <family val="3"/>
    </font>
    <font>
      <sz val="8"/>
      <color indexed="16"/>
      <name val="Times New Roman"/>
      <family val="1"/>
    </font>
    <font>
      <b/>
      <sz val="10"/>
      <color indexed="42"/>
      <name val="Arial"/>
      <family val="2"/>
    </font>
    <font>
      <sz val="7"/>
      <name val="Palatino"/>
      <family val="1"/>
    </font>
    <font>
      <sz val="7.5"/>
      <color indexed="12"/>
      <name val="Arial"/>
      <family val="2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24"/>
      <name val="Times New Roman"/>
      <family val="1"/>
    </font>
    <font>
      <b/>
      <sz val="28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Times New Roman"/>
      <family val="1"/>
    </font>
    <font>
      <i/>
      <sz val="14"/>
      <name val="Palatino"/>
      <family val="1"/>
    </font>
    <font>
      <b/>
      <sz val="10"/>
      <name val="Helv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9"/>
      <color rgb="FF0A4262"/>
      <name val="Calibri"/>
      <family val="2"/>
      <scheme val="minor"/>
    </font>
    <font>
      <u/>
      <sz val="10"/>
      <color indexed="14"/>
      <name val="MS Sans Serif"/>
      <family val="2"/>
    </font>
    <font>
      <u/>
      <sz val="8.5"/>
      <color indexed="12"/>
      <name val="Arial"/>
      <family val="2"/>
    </font>
    <font>
      <u/>
      <sz val="10"/>
      <color indexed="12"/>
      <name val="MS Sans Serif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shadow/>
      <sz val="8"/>
      <color indexed="12"/>
      <name val="Times New Roman"/>
      <family val="1"/>
    </font>
    <font>
      <sz val="8"/>
      <color indexed="12"/>
      <name val="Palatino"/>
      <family val="1"/>
    </font>
    <font>
      <sz val="10"/>
      <color indexed="10"/>
      <name val="Times New Roman"/>
      <family val="1"/>
    </font>
    <font>
      <u/>
      <sz val="7.5"/>
      <color indexed="12"/>
      <name val="Arial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28"/>
      <name val="Times New Roman"/>
      <family val="1"/>
    </font>
    <font>
      <sz val="22"/>
      <name val="Times New Roman"/>
      <family val="1"/>
    </font>
    <font>
      <sz val="8"/>
      <color indexed="8"/>
      <name val="Helv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sz val="26"/>
      <name val="Times New Roman"/>
      <family val="1"/>
    </font>
    <font>
      <sz val="9"/>
      <name val="Times New Roman"/>
      <family val="1"/>
    </font>
    <font>
      <sz val="8"/>
      <color indexed="10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8"/>
      <color theme="1"/>
      <name val="Arial"/>
      <family val="2"/>
    </font>
    <font>
      <sz val="9"/>
      <name val="Geneva"/>
    </font>
    <font>
      <sz val="10"/>
      <name val="Tms Rmn"/>
    </font>
    <font>
      <b/>
      <sz val="10"/>
      <name val="HELVETICA"/>
      <family val="2"/>
    </font>
    <font>
      <u/>
      <sz val="10"/>
      <name val="Helvetica"/>
      <family val="2"/>
    </font>
    <font>
      <sz val="10"/>
      <name val="Helvetica"/>
      <family val="2"/>
    </font>
    <font>
      <sz val="10"/>
      <color indexed="12"/>
      <name val="Times New Roman"/>
      <family val="1"/>
    </font>
    <font>
      <sz val="10"/>
      <name val="Arial CE"/>
    </font>
    <font>
      <b/>
      <sz val="13.5"/>
      <name val="MS Sans Serif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i/>
      <sz val="9"/>
      <name val="Book Antiqua"/>
      <family val="1"/>
    </font>
    <font>
      <sz val="10"/>
      <name val="Palatino"/>
      <family val="1"/>
    </font>
    <font>
      <sz val="10"/>
      <name val="Geneva"/>
    </font>
    <font>
      <sz val="12"/>
      <name val="Book Antiqua"/>
      <family val="1"/>
    </font>
    <font>
      <b/>
      <sz val="10"/>
      <name val="MS Sans Serif"/>
      <family val="2"/>
    </font>
    <font>
      <sz val="16"/>
      <name val="Times New Roman"/>
      <family val="1"/>
    </font>
    <font>
      <sz val="10"/>
      <color indexed="24"/>
      <name val="Arial"/>
      <family val="2"/>
    </font>
    <font>
      <sz val="10"/>
      <color indexed="12"/>
      <name val="Haettenschweiler"/>
      <family val="2"/>
    </font>
    <font>
      <sz val="12"/>
      <color indexed="14"/>
      <name val="Times New Roman"/>
      <family val="1"/>
    </font>
    <font>
      <sz val="10"/>
      <color indexed="10"/>
      <name val="MS Sans Serif"/>
      <family val="2"/>
    </font>
    <font>
      <sz val="10"/>
      <name val="GillSans Light"/>
    </font>
    <font>
      <sz val="8"/>
      <name val="Helv"/>
    </font>
    <font>
      <b/>
      <sz val="10"/>
      <color indexed="32"/>
      <name val="Haettenschweiler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i/>
      <sz val="8"/>
      <name val="Times New Roman"/>
      <family val="1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12"/>
      <name val="Univers (WN)"/>
    </font>
    <font>
      <b/>
      <sz val="10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-Narrow"/>
      <family val="2"/>
    </font>
    <font>
      <b/>
      <sz val="7"/>
      <name val="Helvetica-Narrow"/>
      <family val="2"/>
    </font>
    <font>
      <b/>
      <sz val="8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0"/>
      <color indexed="10"/>
      <name val="Arial"/>
      <family val="2"/>
    </font>
    <font>
      <sz val="8"/>
      <name val="CG Times (E1)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1"/>
      <name val="GillSans"/>
    </font>
    <font>
      <b/>
      <sz val="14"/>
      <name val="Times New Roman"/>
      <family val="1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i/>
      <sz val="12"/>
      <name val="Times New Roman"/>
      <family val="1"/>
    </font>
    <font>
      <sz val="8"/>
      <color indexed="18"/>
      <name val="Times New Roman"/>
      <family val="1"/>
    </font>
    <font>
      <sz val="8"/>
      <color indexed="16"/>
      <name val="Helv"/>
    </font>
    <font>
      <sz val="10"/>
      <color indexed="8"/>
      <name val="Haettenschweiler"/>
      <family val="2"/>
    </font>
    <font>
      <sz val="8"/>
      <color indexed="9"/>
      <name val="Arial"/>
      <family val="2"/>
    </font>
    <font>
      <b/>
      <sz val="10"/>
      <color indexed="12"/>
      <name val="Book Antiqua"/>
      <family val="1"/>
    </font>
    <font>
      <b/>
      <sz val="8"/>
      <name val="Palatino"/>
      <family val="1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8"/>
      <color theme="1"/>
      <name val="Calibri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indexed="39"/>
      <name val="Arial"/>
      <family val="2"/>
    </font>
    <font>
      <sz val="8"/>
      <color indexed="62"/>
      <name val="Arial"/>
      <family val="2"/>
    </font>
    <font>
      <sz val="8"/>
      <color indexed="10"/>
      <name val="Arial"/>
      <family val="2"/>
    </font>
    <font>
      <b/>
      <sz val="9"/>
      <color indexed="0"/>
      <name val="Arial"/>
      <family val="2"/>
    </font>
    <font>
      <sz val="9"/>
      <color indexed="0"/>
      <name val="Arial"/>
      <family val="2"/>
    </font>
    <font>
      <sz val="9"/>
      <color theme="1"/>
      <name val="Calibri"/>
      <family val="2"/>
    </font>
    <font>
      <sz val="10"/>
      <name val="MS Serif"/>
      <family val="1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sz val="10"/>
      <color indexed="16"/>
      <name val="MS Serif"/>
      <family val="1"/>
    </font>
    <font>
      <sz val="12"/>
      <name val="Weiss"/>
    </font>
    <font>
      <sz val="10"/>
      <name val="Arial MT"/>
    </font>
    <font>
      <sz val="9"/>
      <name val="Genev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name val="ＭＳ 明朝"/>
      <family val="1"/>
      <charset val="128"/>
    </font>
    <font>
      <b/>
      <sz val="18"/>
      <name val="Arial"/>
      <family val="2"/>
    </font>
    <font>
      <sz val="8"/>
      <color theme="0" tint="-0.34998626667073579"/>
      <name val="Verdana"/>
      <family val="2"/>
    </font>
    <font>
      <sz val="8"/>
      <name val="Verdana"/>
      <family val="2"/>
    </font>
    <font>
      <sz val="8"/>
      <name val="Calibri"/>
      <family val="2"/>
    </font>
    <font>
      <sz val="9.5"/>
      <color theme="1"/>
      <name val="Calibri"/>
      <family val="2"/>
    </font>
    <font>
      <b/>
      <sz val="9.5"/>
      <color theme="1"/>
      <name val="Calibri"/>
      <family val="2"/>
    </font>
    <font>
      <b/>
      <i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 tint="0.34998626667073579"/>
      <name val="Verdana"/>
      <family val="2"/>
    </font>
    <font>
      <sz val="10"/>
      <color theme="1" tint="0.34998626667073579"/>
      <name val="Calibri"/>
      <family val="2"/>
    </font>
    <font>
      <b/>
      <sz val="8"/>
      <color theme="1" tint="0.34998626667073579"/>
      <name val="Verdana"/>
      <family val="2"/>
    </font>
    <font>
      <i/>
      <sz val="8"/>
      <color theme="1" tint="0.34998626667073579"/>
      <name val="Verdana"/>
      <family val="2"/>
    </font>
    <font>
      <b/>
      <sz val="10"/>
      <color theme="1" tint="0.34998626667073579"/>
      <name val="Calibri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19"/>
      </patternFill>
    </fill>
    <fill>
      <patternFill patternType="darkTrellis">
        <fgColor indexed="13"/>
        <bgColor indexed="9"/>
      </patternFill>
    </fill>
    <fill>
      <patternFill patternType="lightGray">
        <fgColor indexed="38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1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72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5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9" fillId="7" borderId="1" applyNumberFormat="0" applyAlignment="0" applyProtection="0"/>
    <xf numFmtId="0" fontId="11" fillId="3" borderId="0" applyNumberFormat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7" fillId="0" borderId="0"/>
    <xf numFmtId="0" fontId="9" fillId="23" borderId="4" applyNumberFormat="0" applyFont="0" applyAlignment="0" applyProtection="0"/>
    <xf numFmtId="0" fontId="26" fillId="0" borderId="5" applyNumberFormat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16" borderId="6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170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75" fontId="7" fillId="0" borderId="0"/>
    <xf numFmtId="177" fontId="53" fillId="0" borderId="0"/>
    <xf numFmtId="17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81" fontId="54" fillId="0" borderId="0"/>
    <xf numFmtId="0" fontId="55" fillId="0" borderId="0">
      <alignment horizontal="right"/>
    </xf>
    <xf numFmtId="182" fontId="55" fillId="0" borderId="0">
      <alignment horizontal="right"/>
    </xf>
    <xf numFmtId="183" fontId="56" fillId="0" borderId="0"/>
    <xf numFmtId="184" fontId="56" fillId="0" borderId="0"/>
    <xf numFmtId="185" fontId="56" fillId="0" borderId="0"/>
    <xf numFmtId="9" fontId="56" fillId="0" borderId="0"/>
    <xf numFmtId="172" fontId="56" fillId="0" borderId="0"/>
    <xf numFmtId="0" fontId="56" fillId="0" borderId="0"/>
    <xf numFmtId="10" fontId="56" fillId="0" borderId="0"/>
    <xf numFmtId="10" fontId="56" fillId="0" borderId="0"/>
    <xf numFmtId="0" fontId="57" fillId="0" borderId="0" applyFont="0" applyFill="0" applyBorder="0" applyAlignment="0" applyProtection="0">
      <alignment horizontal="right"/>
    </xf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>
      <alignment horizontal="right"/>
    </xf>
    <xf numFmtId="0" fontId="59" fillId="0" borderId="0" applyNumberFormat="0" applyFont="0" applyFill="0" applyBorder="0" applyAlignment="0" applyProtection="0"/>
    <xf numFmtId="18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38" fontId="60" fillId="0" borderId="0" applyFont="0" applyFill="0" applyBorder="0" applyAlignment="0" applyProtection="0"/>
    <xf numFmtId="0" fontId="62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77" fontId="53" fillId="0" borderId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56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7" fontId="53" fillId="0" borderId="0"/>
    <xf numFmtId="0" fontId="63" fillId="0" borderId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" fillId="22" borderId="0" applyNumberFormat="0" applyFont="0" applyAlignment="0" applyProtection="0"/>
    <xf numFmtId="0" fontId="7" fillId="22" borderId="0" applyNumberFormat="0" applyFon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59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9" fontId="56" fillId="0" borderId="0" applyFont="0" applyFill="0" applyBorder="0" applyAlignment="0" applyProtection="0"/>
    <xf numFmtId="197" fontId="65" fillId="0" borderId="0" applyFont="0" applyFill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Protection="0">
      <alignment horizontal="right"/>
    </xf>
    <xf numFmtId="201" fontId="7" fillId="0" borderId="0" applyFont="0" applyFill="0" applyBorder="0" applyAlignment="0" applyProtection="0"/>
    <xf numFmtId="203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3" fillId="0" borderId="0"/>
    <xf numFmtId="177" fontId="5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5" fontId="7" fillId="0" borderId="0" applyFont="0" applyFill="0" applyBorder="0" applyAlignment="0" applyProtection="0"/>
    <xf numFmtId="187" fontId="7" fillId="0" borderId="0" applyFont="0" applyFill="0" applyBorder="0" applyProtection="0">
      <alignment horizontal="right"/>
    </xf>
    <xf numFmtId="3" fontId="56" fillId="0" borderId="0" applyFont="0" applyFill="0" applyBorder="0" applyAlignment="0" applyProtection="0"/>
    <xf numFmtId="206" fontId="66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63" fillId="0" borderId="0"/>
    <xf numFmtId="0" fontId="67" fillId="0" borderId="0">
      <alignment vertical="top"/>
    </xf>
    <xf numFmtId="177" fontId="53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9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" fillId="0" borderId="31" applyNumberFormat="0" applyFont="0" applyFill="0" applyAlignment="0" applyProtection="0"/>
    <xf numFmtId="0" fontId="7" fillId="0" borderId="31" applyNumberFormat="0" applyFont="0" applyFill="0" applyAlignment="0" applyProtection="0"/>
    <xf numFmtId="0" fontId="70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centerContinuous"/>
    </xf>
    <xf numFmtId="0" fontId="71" fillId="0" borderId="0" applyNumberFormat="0" applyFill="0" applyProtection="0">
      <alignment horizontal="centerContinuous"/>
    </xf>
    <xf numFmtId="0" fontId="63" fillId="0" borderId="0"/>
    <xf numFmtId="0" fontId="63" fillId="0" borderId="0"/>
    <xf numFmtId="0" fontId="6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63" fillId="0" borderId="0"/>
    <xf numFmtId="210" fontId="58" fillId="0" borderId="0" applyFont="0" applyFill="0" applyBorder="0" applyAlignment="0" applyProtection="0"/>
    <xf numFmtId="211" fontId="58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56" fillId="0" borderId="0"/>
    <xf numFmtId="214" fontId="56" fillId="0" borderId="0"/>
    <xf numFmtId="215" fontId="56" fillId="0" borderId="0"/>
    <xf numFmtId="216" fontId="5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/>
    <xf numFmtId="0" fontId="58" fillId="0" borderId="0"/>
    <xf numFmtId="0" fontId="56" fillId="0" borderId="0"/>
    <xf numFmtId="9" fontId="7" fillId="0" borderId="0"/>
    <xf numFmtId="0" fontId="56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2" fontId="72" fillId="0" borderId="0"/>
    <xf numFmtId="10" fontId="72" fillId="0" borderId="0"/>
    <xf numFmtId="204" fontId="66" fillId="0" borderId="31" applyFon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7" fontId="7" fillId="0" borderId="0">
      <alignment horizontal="left"/>
    </xf>
    <xf numFmtId="217" fontId="7" fillId="0" borderId="0">
      <alignment horizontal="left"/>
    </xf>
    <xf numFmtId="217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172" fontId="73" fillId="0" borderId="0" applyAlignment="0"/>
    <xf numFmtId="3" fontId="74" fillId="55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3" fontId="75" fillId="56" borderId="0"/>
    <xf numFmtId="0" fontId="58" fillId="57" borderId="21"/>
    <xf numFmtId="219" fontId="73" fillId="0" borderId="0">
      <alignment horizontal="right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37" fontId="76" fillId="0" borderId="0">
      <alignment horizont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37" fontId="78" fillId="0" borderId="0"/>
    <xf numFmtId="37" fontId="79" fillId="0" borderId="0"/>
    <xf numFmtId="37" fontId="80" fillId="0" borderId="0"/>
    <xf numFmtId="0" fontId="81" fillId="58" borderId="32">
      <alignment horizontal="center"/>
    </xf>
    <xf numFmtId="0" fontId="82" fillId="56" borderId="0"/>
    <xf numFmtId="0" fontId="83" fillId="56" borderId="0">
      <alignment horizontal="center"/>
    </xf>
    <xf numFmtId="0" fontId="84" fillId="56" borderId="0">
      <alignment horizontal="left"/>
    </xf>
    <xf numFmtId="3" fontId="82" fillId="59" borderId="0">
      <alignment horizontal="left"/>
    </xf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20" fontId="85" fillId="0" borderId="0" applyFont="0" applyFill="0" applyBorder="0" applyAlignment="0" applyProtection="0"/>
    <xf numFmtId="221" fontId="85" fillId="0" borderId="0" applyFont="0" applyFill="0" applyBorder="0" applyAlignment="0" applyProtection="0"/>
    <xf numFmtId="222" fontId="85" fillId="0" borderId="0" applyFont="0" applyFill="0" applyBorder="0" applyAlignment="0" applyProtection="0"/>
    <xf numFmtId="0" fontId="86" fillId="0" borderId="0" applyFont="0">
      <alignment horizontal="centerContinuous"/>
    </xf>
    <xf numFmtId="189" fontId="87" fillId="0" borderId="0"/>
    <xf numFmtId="38" fontId="88" fillId="60" borderId="21"/>
    <xf numFmtId="223" fontId="89" fillId="0" borderId="0">
      <alignment horizontal="center" vertical="center"/>
    </xf>
    <xf numFmtId="10" fontId="7" fillId="61" borderId="0" applyFont="0" applyBorder="0" applyAlignment="0">
      <protection locked="0"/>
    </xf>
    <xf numFmtId="224" fontId="7" fillId="61" borderId="0" applyBorder="0" applyAlignment="0">
      <protection locked="0"/>
    </xf>
    <xf numFmtId="37" fontId="90" fillId="62" borderId="22" applyBorder="0" applyProtection="0">
      <alignment vertical="center"/>
    </xf>
    <xf numFmtId="1" fontId="52" fillId="0" borderId="23">
      <alignment horizontal="right"/>
    </xf>
    <xf numFmtId="3" fontId="91" fillId="63" borderId="33">
      <alignment horizontal="center"/>
    </xf>
    <xf numFmtId="3" fontId="92" fillId="64" borderId="32" applyNumberFormat="0">
      <alignment horizontal="center"/>
    </xf>
    <xf numFmtId="14" fontId="70" fillId="65" borderId="34" applyNumberFormat="0" applyFont="0" applyBorder="0" applyAlignment="0" applyProtection="0">
      <alignment horizontal="center" vertical="center"/>
    </xf>
    <xf numFmtId="38" fontId="92" fillId="16" borderId="32">
      <alignment horizontal="center"/>
    </xf>
    <xf numFmtId="0" fontId="93" fillId="0" borderId="26">
      <protection hidden="1"/>
    </xf>
    <xf numFmtId="0" fontId="58" fillId="0" borderId="0">
      <alignment horizontal="centerContinuous"/>
    </xf>
    <xf numFmtId="0" fontId="58" fillId="0" borderId="0">
      <alignment horizontal="centerContinuous"/>
    </xf>
    <xf numFmtId="0" fontId="86" fillId="0" borderId="5">
      <alignment horizontal="centerContinuous"/>
    </xf>
    <xf numFmtId="0" fontId="7" fillId="0" borderId="0"/>
    <xf numFmtId="0" fontId="94" fillId="0" borderId="0"/>
    <xf numFmtId="183" fontId="94" fillId="0" borderId="0"/>
    <xf numFmtId="184" fontId="94" fillId="0" borderId="0"/>
    <xf numFmtId="185" fontId="94" fillId="0" borderId="0"/>
    <xf numFmtId="9" fontId="94" fillId="0" borderId="0"/>
    <xf numFmtId="225" fontId="94" fillId="0" borderId="0">
      <alignment horizontal="right"/>
    </xf>
    <xf numFmtId="1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3" fontId="94" fillId="0" borderId="0"/>
    <xf numFmtId="214" fontId="94" fillId="0" borderId="0"/>
    <xf numFmtId="215" fontId="94" fillId="0" borderId="0"/>
    <xf numFmtId="171" fontId="94" fillId="0" borderId="0"/>
    <xf numFmtId="0" fontId="56" fillId="0" borderId="0"/>
    <xf numFmtId="171" fontId="7" fillId="0" borderId="0"/>
    <xf numFmtId="0" fontId="94" fillId="0" borderId="0"/>
    <xf numFmtId="170" fontId="94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5" fillId="66" borderId="35"/>
    <xf numFmtId="1" fontId="96" fillId="66" borderId="36">
      <alignment horizontal="center"/>
    </xf>
    <xf numFmtId="3" fontId="97" fillId="0" borderId="37">
      <alignment horizontal="center"/>
    </xf>
    <xf numFmtId="38" fontId="98" fillId="0" borderId="0" applyNumberForma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0" fontId="7" fillId="0" borderId="0" applyFont="0" applyFill="0" applyBorder="0" applyAlignment="0" applyProtection="0">
      <alignment horizontal="right"/>
    </xf>
    <xf numFmtId="0" fontId="100" fillId="0" borderId="0" applyNumberFormat="0" applyFill="0" applyBorder="0" applyAlignment="0" applyProtection="0"/>
    <xf numFmtId="0" fontId="101" fillId="0" borderId="0"/>
    <xf numFmtId="0" fontId="7" fillId="0" borderId="0"/>
    <xf numFmtId="0" fontId="7" fillId="0" borderId="0"/>
    <xf numFmtId="171" fontId="56" fillId="0" borderId="0"/>
    <xf numFmtId="0" fontId="56" fillId="0" borderId="0"/>
    <xf numFmtId="0" fontId="7" fillId="0" borderId="0"/>
    <xf numFmtId="226" fontId="102" fillId="0" borderId="0" applyNumberFormat="0" applyFill="0" applyBorder="0" applyAlignment="0"/>
    <xf numFmtId="0" fontId="103" fillId="0" borderId="0" applyNumberFormat="0"/>
    <xf numFmtId="0" fontId="104" fillId="0" borderId="5"/>
    <xf numFmtId="0" fontId="105" fillId="0" borderId="0" applyNumberFormat="0"/>
    <xf numFmtId="0" fontId="86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189" fontId="106" fillId="0" borderId="0"/>
    <xf numFmtId="0" fontId="106" fillId="0" borderId="0">
      <alignment vertical="center"/>
    </xf>
    <xf numFmtId="227" fontId="107" fillId="0" borderId="38"/>
    <xf numFmtId="37" fontId="108" fillId="0" borderId="39" applyNumberFormat="0" applyFont="0" applyFill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56" fillId="0" borderId="0"/>
    <xf numFmtId="171" fontId="94" fillId="0" borderId="40"/>
    <xf numFmtId="170" fontId="94" fillId="0" borderId="40"/>
    <xf numFmtId="0" fontId="109" fillId="0" borderId="5">
      <alignment horizontal="centerContinuous"/>
    </xf>
    <xf numFmtId="228" fontId="56" fillId="0" borderId="0" applyFont="0" applyFill="0" applyBorder="0" applyAlignment="0" applyProtection="0"/>
    <xf numFmtId="229" fontId="94" fillId="0" borderId="0"/>
    <xf numFmtId="230" fontId="94" fillId="0" borderId="0"/>
    <xf numFmtId="231" fontId="94" fillId="0" borderId="0"/>
    <xf numFmtId="0" fontId="110" fillId="0" borderId="0"/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39" fontId="112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13" fillId="56" borderId="0" applyFont="0" applyAlignment="0">
      <alignment horizontal="left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110" fillId="66" borderId="33">
      <alignment horizontal="center"/>
    </xf>
    <xf numFmtId="0" fontId="91" fillId="0" borderId="0" applyFill="0" applyBorder="0" applyProtection="0">
      <alignment horizontal="center"/>
      <protection locked="0"/>
    </xf>
    <xf numFmtId="0" fontId="102" fillId="0" borderId="0" applyFill="0" applyBorder="0" applyProtection="0">
      <alignment horizontal="center"/>
    </xf>
    <xf numFmtId="1" fontId="115" fillId="0" borderId="0"/>
    <xf numFmtId="0" fontId="13" fillId="17" borderId="2" applyNumberFormat="0" applyAlignment="0" applyProtection="0"/>
    <xf numFmtId="0" fontId="13" fillId="17" borderId="2" applyNumberFormat="0" applyAlignment="0" applyProtection="0"/>
    <xf numFmtId="171" fontId="56" fillId="0" borderId="0"/>
    <xf numFmtId="0" fontId="52" fillId="67" borderId="41" applyFont="0" applyFill="0" applyBorder="0"/>
    <xf numFmtId="0" fontId="51" fillId="0" borderId="26"/>
    <xf numFmtId="238" fontId="116" fillId="56" borderId="27">
      <alignment horizontal="right"/>
    </xf>
    <xf numFmtId="0" fontId="72" fillId="0" borderId="0">
      <alignment horizontal="center" wrapText="1"/>
      <protection hidden="1"/>
    </xf>
    <xf numFmtId="0" fontId="52" fillId="0" borderId="25">
      <alignment horizontal="center"/>
    </xf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40" fontId="87" fillId="0" borderId="0" applyFont="0"/>
    <xf numFmtId="236" fontId="7" fillId="0" borderId="0" applyFont="0" applyFill="0" applyBorder="0" applyAlignment="0" applyProtection="0"/>
    <xf numFmtId="0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241" fontId="119" fillId="0" borderId="0" applyFont="0" applyFill="0" applyBorder="0" applyAlignment="0" applyProtection="0">
      <alignment horizontal="right"/>
    </xf>
    <xf numFmtId="242" fontId="119" fillId="0" borderId="0" applyFont="0" applyFill="0" applyBorder="0" applyAlignment="0" applyProtection="0"/>
    <xf numFmtId="243" fontId="89" fillId="0" borderId="0" applyFont="0" applyFill="0" applyBorder="0" applyAlignment="0" applyProtection="0"/>
    <xf numFmtId="39" fontId="120" fillId="0" borderId="0" applyFont="0" applyFill="0" applyBorder="0" applyAlignment="0" applyProtection="0"/>
    <xf numFmtId="244" fontId="121" fillId="0" borderId="0" applyFont="0" applyFill="0" applyBorder="0" applyAlignment="0" applyProtection="0"/>
    <xf numFmtId="245" fontId="7" fillId="0" borderId="0" applyFont="0" applyFill="0" applyBorder="0" applyAlignment="0" applyProtection="0">
      <alignment horizontal="right"/>
    </xf>
    <xf numFmtId="226" fontId="1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8" fontId="56" fillId="0" borderId="0" applyFill="0" applyBorder="0" applyProtection="0">
      <alignment horizontal="center"/>
    </xf>
    <xf numFmtId="3" fontId="56" fillId="0" borderId="0" applyFont="0" applyFill="0" applyBorder="0" applyAlignment="0" applyProtection="0"/>
    <xf numFmtId="0" fontId="123" fillId="0" borderId="0"/>
    <xf numFmtId="0" fontId="124" fillId="0" borderId="0"/>
    <xf numFmtId="0" fontId="123" fillId="0" borderId="0"/>
    <xf numFmtId="0" fontId="124" fillId="0" borderId="0"/>
    <xf numFmtId="3" fontId="125" fillId="0" borderId="0">
      <alignment horizontal="center"/>
    </xf>
    <xf numFmtId="0" fontId="126" fillId="68" borderId="0">
      <alignment horizontal="center" vertical="center" wrapText="1"/>
    </xf>
    <xf numFmtId="0" fontId="127" fillId="0" borderId="0" applyFill="0" applyBorder="0" applyAlignment="0" applyProtection="0">
      <protection locked="0"/>
    </xf>
    <xf numFmtId="177" fontId="128" fillId="0" borderId="0" applyFill="0" applyBorder="0">
      <alignment horizontal="left"/>
    </xf>
    <xf numFmtId="246" fontId="86" fillId="0" borderId="0" applyFont="0" applyFill="0" applyBorder="0" applyAlignment="0">
      <alignment horizontal="right"/>
      <protection locked="0"/>
    </xf>
    <xf numFmtId="247" fontId="7" fillId="0" borderId="0" applyFill="0" applyBorder="0">
      <alignment horizontal="right"/>
      <protection locked="0"/>
    </xf>
    <xf numFmtId="211" fontId="7" fillId="0" borderId="0">
      <alignment horizontal="right"/>
    </xf>
    <xf numFmtId="232" fontId="7" fillId="0" borderId="0" applyFont="0" applyFill="0" applyBorder="0" applyAlignment="0" applyProtection="0"/>
    <xf numFmtId="0" fontId="129" fillId="0" borderId="0" applyFont="0" applyFill="0" applyBorder="0" applyAlignment="0" applyProtection="0"/>
    <xf numFmtId="248" fontId="51" fillId="0" borderId="0" applyFont="0" applyFill="0" applyBorder="0" applyAlignment="0"/>
    <xf numFmtId="0" fontId="129" fillId="0" borderId="0" applyFont="0" applyFill="0" applyBorder="0" applyAlignment="0" applyProtection="0"/>
    <xf numFmtId="249" fontId="119" fillId="0" borderId="0" applyFont="0" applyFill="0" applyBorder="0" applyAlignment="0" applyProtection="0">
      <alignment horizontal="right"/>
    </xf>
    <xf numFmtId="250" fontId="121" fillId="0" borderId="0" applyFont="0" applyFill="0" applyBorder="0" applyAlignment="0" applyProtection="0"/>
    <xf numFmtId="251" fontId="120" fillId="0" borderId="0" applyFont="0" applyFill="0" applyBorder="0" applyAlignment="0" applyProtection="0"/>
    <xf numFmtId="252" fontId="121" fillId="0" borderId="0" applyFont="0" applyFill="0" applyBorder="0" applyAlignment="0" applyProtection="0"/>
    <xf numFmtId="253" fontId="7" fillId="0" borderId="0" applyFont="0" applyFill="0" applyBorder="0" applyAlignment="0" applyProtection="0">
      <alignment horizontal="right"/>
    </xf>
    <xf numFmtId="210" fontId="7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94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3" fontId="97" fillId="56" borderId="0" applyNumberFormat="0" applyAlignment="0"/>
    <xf numFmtId="255" fontId="56" fillId="0" borderId="0" applyFont="0" applyFill="0" applyBorder="0" applyAlignment="0" applyProtection="0"/>
    <xf numFmtId="14" fontId="7" fillId="0" borderId="0" applyFont="0" applyFill="0" applyBorder="0" applyAlignment="0" applyProtection="0">
      <alignment vertical="center"/>
    </xf>
    <xf numFmtId="15" fontId="52" fillId="0" borderId="0" applyFill="0" applyBorder="0" applyAlignment="0"/>
    <xf numFmtId="15" fontId="52" fillId="0" borderId="0" applyFill="0" applyBorder="0" applyAlignment="0"/>
    <xf numFmtId="226" fontId="52" fillId="61" borderId="0" applyFont="0" applyFill="0" applyBorder="0" applyAlignment="0" applyProtection="0"/>
    <xf numFmtId="226" fontId="52" fillId="61" borderId="0" applyFont="0" applyFill="0" applyBorder="0" applyAlignment="0" applyProtection="0"/>
    <xf numFmtId="256" fontId="7" fillId="61" borderId="42" applyFont="0" applyFill="0" applyBorder="0" applyAlignment="0" applyProtection="0"/>
    <xf numFmtId="256" fontId="7" fillId="61" borderId="42" applyFont="0" applyFill="0" applyBorder="0" applyAlignment="0" applyProtection="0"/>
    <xf numFmtId="257" fontId="7" fillId="61" borderId="0" applyFont="0" applyFill="0" applyBorder="0" applyAlignment="0" applyProtection="0"/>
    <xf numFmtId="257" fontId="7" fillId="61" borderId="0" applyFont="0" applyFill="0" applyBorder="0" applyAlignment="0" applyProtection="0"/>
    <xf numFmtId="17" fontId="52" fillId="0" borderId="0" applyFill="0" applyBorder="0">
      <alignment horizontal="right"/>
    </xf>
    <xf numFmtId="17" fontId="52" fillId="0" borderId="0" applyFill="0" applyBorder="0">
      <alignment horizontal="right"/>
    </xf>
    <xf numFmtId="258" fontId="7" fillId="0" borderId="5"/>
    <xf numFmtId="258" fontId="7" fillId="0" borderId="5"/>
    <xf numFmtId="258" fontId="7" fillId="0" borderId="5"/>
    <xf numFmtId="14" fontId="52" fillId="69" borderId="24" applyFill="0" applyBorder="0">
      <alignment horizontal="right"/>
    </xf>
    <xf numFmtId="259" fontId="119" fillId="0" borderId="0" applyFont="0" applyFill="0" applyBorder="0" applyAlignment="0" applyProtection="0"/>
    <xf numFmtId="14" fontId="82" fillId="0" borderId="0" applyFill="0" applyBorder="0" applyAlignment="0"/>
    <xf numFmtId="14" fontId="89" fillId="0" borderId="0" applyFont="0" applyFill="0" applyBorder="0" applyAlignment="0" applyProtection="0"/>
    <xf numFmtId="0" fontId="58" fillId="0" borderId="0"/>
    <xf numFmtId="256" fontId="7" fillId="0" borderId="0" applyFill="0" applyBorder="0">
      <alignment horizontal="right"/>
    </xf>
    <xf numFmtId="256" fontId="7" fillId="0" borderId="0" applyFill="0" applyBorder="0">
      <alignment horizontal="right"/>
    </xf>
    <xf numFmtId="0" fontId="55" fillId="0" borderId="0">
      <alignment horizontal="right"/>
    </xf>
    <xf numFmtId="0" fontId="55" fillId="0" borderId="0">
      <alignment horizontal="right"/>
    </xf>
    <xf numFmtId="39" fontId="124" fillId="0" borderId="0" applyFont="0" applyFill="0" applyBorder="0" applyAlignment="0" applyProtection="0"/>
    <xf numFmtId="219" fontId="55" fillId="0" borderId="0" applyFont="0" applyFill="0" applyBorder="0" applyAlignment="0"/>
    <xf numFmtId="0" fontId="130" fillId="70" borderId="25" applyNumberFormat="0" applyBorder="0" applyAlignment="0">
      <alignment horizontal="center"/>
      <protection hidden="1"/>
    </xf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31" fillId="0" borderId="0">
      <protection locked="0"/>
    </xf>
    <xf numFmtId="0" fontId="7" fillId="0" borderId="0"/>
    <xf numFmtId="3" fontId="132" fillId="71" borderId="32">
      <alignment horizontal="center"/>
    </xf>
    <xf numFmtId="260" fontId="56" fillId="0" borderId="0" applyFill="0" applyBorder="0" applyProtection="0">
      <alignment horizontal="center"/>
    </xf>
    <xf numFmtId="261" fontId="56" fillId="0" borderId="0">
      <alignment horizontal="center"/>
    </xf>
    <xf numFmtId="262" fontId="133" fillId="0" borderId="0"/>
    <xf numFmtId="263" fontId="7" fillId="0" borderId="0" applyFont="0" applyFill="0" applyBorder="0" applyAlignment="0" applyProtection="0"/>
    <xf numFmtId="263" fontId="82" fillId="0" borderId="0" applyFont="0" applyFill="0" applyBorder="0" applyAlignment="0" applyProtection="0">
      <protection locked="0"/>
    </xf>
    <xf numFmtId="165" fontId="51" fillId="0" borderId="0"/>
    <xf numFmtId="165" fontId="51" fillId="0" borderId="0"/>
    <xf numFmtId="264" fontId="119" fillId="0" borderId="43" applyNumberFormat="0" applyFont="0" applyFill="0" applyAlignment="0" applyProtection="0"/>
    <xf numFmtId="172" fontId="58" fillId="0" borderId="44" applyFill="0" applyBorder="0" applyAlignment="0">
      <alignment horizontal="centerContinuous"/>
    </xf>
    <xf numFmtId="0" fontId="134" fillId="0" borderId="0">
      <protection locked="0"/>
    </xf>
    <xf numFmtId="0" fontId="134" fillId="0" borderId="0">
      <protection locked="0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265" fontId="58" fillId="0" borderId="0" applyFont="0" applyFill="0" applyBorder="0" applyAlignment="0" applyProtection="0">
      <alignment horizontal="right"/>
    </xf>
    <xf numFmtId="0" fontId="7" fillId="0" borderId="0"/>
    <xf numFmtId="0" fontId="7" fillId="0" borderId="0"/>
    <xf numFmtId="266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24" fillId="0" borderId="0"/>
    <xf numFmtId="267" fontId="135" fillId="56" borderId="21"/>
    <xf numFmtId="0" fontId="131" fillId="0" borderId="0">
      <protection locked="0"/>
    </xf>
    <xf numFmtId="37" fontId="136" fillId="0" borderId="0" applyNumberFormat="0" applyFill="0" applyBorder="0" applyAlignment="0" applyProtection="0"/>
    <xf numFmtId="0" fontId="131" fillId="0" borderId="0">
      <protection locked="0"/>
    </xf>
    <xf numFmtId="0" fontId="133" fillId="0" borderId="0"/>
    <xf numFmtId="268" fontId="7" fillId="61" borderId="0" applyFont="0" applyFill="0" applyBorder="0" applyAlignment="0"/>
    <xf numFmtId="268" fontId="7" fillId="61" borderId="0" applyFont="0" applyFill="0" applyBorder="0" applyAlignment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7" fillId="0" borderId="0" applyFill="0" applyBorder="0" applyProtection="0">
      <alignment horizontal="left"/>
    </xf>
    <xf numFmtId="0" fontId="7" fillId="0" borderId="0"/>
    <xf numFmtId="38" fontId="138" fillId="0" borderId="26" applyBorder="0"/>
    <xf numFmtId="10" fontId="7" fillId="61" borderId="0" applyNumberFormat="0" applyFont="0" applyBorder="0" applyAlignment="0"/>
    <xf numFmtId="10" fontId="7" fillId="61" borderId="0" applyNumberFormat="0" applyFont="0" applyBorder="0" applyAlignment="0"/>
    <xf numFmtId="0" fontId="58" fillId="0" borderId="23" applyBorder="0"/>
    <xf numFmtId="4" fontId="7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168" fontId="91" fillId="0" borderId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139" fillId="0" borderId="0" applyNumberFormat="0" applyFill="0" applyProtection="0">
      <alignment horizontal="left"/>
    </xf>
    <xf numFmtId="0" fontId="140" fillId="0" borderId="0" applyFont="0">
      <alignment horizontal="centerContinuous"/>
    </xf>
    <xf numFmtId="269" fontId="56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69" fontId="56" fillId="0" borderId="0"/>
    <xf numFmtId="269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09" fillId="0" borderId="39">
      <alignment horizontal="centerContinuous"/>
    </xf>
    <xf numFmtId="0" fontId="141" fillId="0" borderId="0">
      <alignment horizontal="centerContinuous"/>
    </xf>
    <xf numFmtId="270" fontId="119" fillId="0" borderId="0" applyFont="0" applyFill="0" applyBorder="0" applyAlignment="0" applyProtection="0">
      <alignment horizontal="right"/>
    </xf>
    <xf numFmtId="0" fontId="86" fillId="0" borderId="0" applyFont="0">
      <alignment horizontal="centerContinuous"/>
    </xf>
    <xf numFmtId="0" fontId="142" fillId="0" borderId="39" applyFont="0">
      <alignment horizontal="centerContinuous"/>
    </xf>
    <xf numFmtId="0" fontId="143" fillId="0" borderId="0" applyProtection="0">
      <alignment horizontal="right"/>
    </xf>
    <xf numFmtId="0" fontId="144" fillId="0" borderId="45" applyNumberFormat="0" applyAlignment="0" applyProtection="0">
      <alignment horizontal="left" vertical="center"/>
    </xf>
    <xf numFmtId="0" fontId="144" fillId="0" borderId="23">
      <alignment horizontal="left" vertical="center"/>
    </xf>
    <xf numFmtId="37" fontId="91" fillId="72" borderId="24">
      <alignment horizontal="center" vertical="center" wrapText="1"/>
    </xf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46" fillId="0" borderId="0" applyProtection="0">
      <alignment horizontal="left"/>
    </xf>
    <xf numFmtId="0" fontId="146" fillId="0" borderId="0" applyProtection="0">
      <alignment horizontal="left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2" fillId="0" borderId="0" applyFill="0" applyAlignment="0" applyProtection="0">
      <protection locked="0"/>
    </xf>
    <xf numFmtId="0" fontId="102" fillId="0" borderId="5" applyFill="0" applyAlignment="0" applyProtection="0">
      <protection locked="0"/>
    </xf>
    <xf numFmtId="14" fontId="91" fillId="72" borderId="39">
      <alignment horizontal="center" vertical="center" wrapText="1"/>
    </xf>
    <xf numFmtId="168" fontId="66" fillId="0" borderId="0">
      <protection locked="0"/>
    </xf>
    <xf numFmtId="0" fontId="7" fillId="0" borderId="46"/>
    <xf numFmtId="0" fontId="7" fillId="0" borderId="46"/>
    <xf numFmtId="168" fontId="66" fillId="0" borderId="0">
      <protection locked="0"/>
    </xf>
    <xf numFmtId="37" fontId="147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269" fontId="106" fillId="0" borderId="47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0" fontId="86" fillId="0" borderId="0">
      <alignment horizontal="center"/>
    </xf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06" fillId="0" borderId="0" applyFont="0" applyBorder="0" applyAlignment="0"/>
    <xf numFmtId="0" fontId="154" fillId="0" borderId="0"/>
    <xf numFmtId="4" fontId="7" fillId="73" borderId="0"/>
    <xf numFmtId="0" fontId="155" fillId="8" borderId="0" applyNumberFormat="0" applyFont="0" applyBorder="0" applyAlignment="0">
      <protection locked="0"/>
    </xf>
    <xf numFmtId="172" fontId="156" fillId="0" borderId="27" applyFill="0" applyBorder="0" applyAlignment="0">
      <alignment horizontal="center"/>
      <protection locked="0"/>
    </xf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89" fontId="156" fillId="0" borderId="0" applyFill="0" applyBorder="0" applyAlignment="0">
      <protection locked="0"/>
    </xf>
    <xf numFmtId="0" fontId="155" fillId="8" borderId="0" applyNumberFormat="0" applyFont="0" applyBorder="0" applyAlignment="0">
      <protection locked="0"/>
    </xf>
    <xf numFmtId="219" fontId="156" fillId="0" borderId="0" applyFill="0" applyBorder="0" applyAlignment="0" applyProtection="0">
      <protection locked="0"/>
    </xf>
    <xf numFmtId="0" fontId="155" fillId="8" borderId="0" applyNumberFormat="0" applyFont="0" applyBorder="0" applyAlignment="0">
      <protection locked="0"/>
    </xf>
    <xf numFmtId="0" fontId="155" fillId="8" borderId="0" applyNumberFormat="0" applyFont="0" applyBorder="0" applyAlignment="0">
      <protection locked="0"/>
    </xf>
    <xf numFmtId="166" fontId="51" fillId="0" borderId="0"/>
    <xf numFmtId="166" fontId="51" fillId="0" borderId="0"/>
    <xf numFmtId="166" fontId="51" fillId="0" borderId="0"/>
    <xf numFmtId="256" fontId="7" fillId="61" borderId="0" applyFont="0" applyBorder="0" applyAlignment="0" applyProtection="0">
      <protection locked="0"/>
    </xf>
    <xf numFmtId="256" fontId="7" fillId="61" borderId="0" applyFont="0" applyBorder="0" applyAlignment="0" applyProtection="0">
      <protection locked="0"/>
    </xf>
    <xf numFmtId="268" fontId="7" fillId="61" borderId="0" applyFont="0" applyBorder="0" applyAlignment="0">
      <protection locked="0"/>
    </xf>
    <xf numFmtId="268" fontId="7" fillId="61" borderId="0" applyFont="0" applyBorder="0" applyAlignment="0">
      <protection locked="0"/>
    </xf>
    <xf numFmtId="226" fontId="51" fillId="0" borderId="0"/>
    <xf numFmtId="226" fontId="51" fillId="0" borderId="0"/>
    <xf numFmtId="226" fontId="51" fillId="0" borderId="0"/>
    <xf numFmtId="3" fontId="7" fillId="0" borderId="48">
      <alignment horizontal="right"/>
      <protection locked="0"/>
    </xf>
    <xf numFmtId="273" fontId="7" fillId="0" borderId="0"/>
    <xf numFmtId="10" fontId="51" fillId="61" borderId="0">
      <protection locked="0"/>
    </xf>
    <xf numFmtId="10" fontId="51" fillId="61" borderId="0">
      <protection locked="0"/>
    </xf>
    <xf numFmtId="10" fontId="51" fillId="61" borderId="0">
      <protection locked="0"/>
    </xf>
    <xf numFmtId="273" fontId="7" fillId="0" borderId="0"/>
    <xf numFmtId="273" fontId="7" fillId="0" borderId="0"/>
    <xf numFmtId="3" fontId="7" fillId="0" borderId="48">
      <alignment horizontal="left"/>
      <protection locked="0"/>
    </xf>
    <xf numFmtId="226" fontId="7" fillId="61" borderId="0" applyNumberFormat="0" applyBorder="0" applyAlignment="0">
      <protection locked="0"/>
    </xf>
    <xf numFmtId="226" fontId="7" fillId="61" borderId="0" applyNumberFormat="0" applyBorder="0" applyAlignment="0">
      <protection locked="0"/>
    </xf>
    <xf numFmtId="274" fontId="157" fillId="0" borderId="49" applyFill="0" applyBorder="0" applyAlignment="0" applyProtection="0"/>
    <xf numFmtId="0" fontId="65" fillId="0" borderId="0" applyNumberFormat="0" applyFill="0" applyBorder="0" applyAlignment="0">
      <protection locked="0"/>
    </xf>
    <xf numFmtId="0" fontId="94" fillId="0" borderId="0" applyNumberFormat="0" applyFill="0" applyBorder="0" applyAlignment="0"/>
    <xf numFmtId="9" fontId="58" fillId="74" borderId="21" applyProtection="0">
      <alignment horizontal="right"/>
      <protection locked="0"/>
    </xf>
    <xf numFmtId="275" fontId="158" fillId="0" borderId="0" applyFill="0" applyBorder="0" applyProtection="0">
      <protection locked="0"/>
    </xf>
    <xf numFmtId="0" fontId="133" fillId="0" borderId="0"/>
    <xf numFmtId="276" fontId="89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ill="0" applyBorder="0">
      <alignment horizontal="right"/>
      <protection locked="0"/>
    </xf>
    <xf numFmtId="0" fontId="91" fillId="57" borderId="50">
      <alignment horizontal="left" vertical="center" wrapText="1"/>
    </xf>
    <xf numFmtId="0" fontId="159" fillId="0" borderId="0" applyNumberFormat="0" applyFill="0" applyBorder="0" applyAlignment="0" applyProtection="0">
      <alignment vertical="top"/>
      <protection locked="0"/>
    </xf>
    <xf numFmtId="3" fontId="160" fillId="0" borderId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162" fillId="0" borderId="39">
      <alignment horizontal="left"/>
    </xf>
    <xf numFmtId="0" fontId="163" fillId="0" borderId="0">
      <alignment horizontal="left"/>
    </xf>
    <xf numFmtId="278" fontId="66" fillId="0" borderId="0"/>
    <xf numFmtId="278" fontId="66" fillId="0" borderId="0"/>
    <xf numFmtId="0" fontId="164" fillId="0" borderId="26">
      <alignment horizontal="left"/>
      <protection locked="0"/>
    </xf>
    <xf numFmtId="0" fontId="127" fillId="0" borderId="0" applyFill="0" applyBorder="0" applyAlignment="0" applyProtection="0"/>
    <xf numFmtId="238" fontId="165" fillId="56" borderId="27" applyNumberFormat="0" applyFont="0" applyBorder="0" applyAlignment="0">
      <alignment horizontal="center"/>
    </xf>
    <xf numFmtId="3" fontId="166" fillId="56" borderId="25">
      <alignment horizontal="center"/>
    </xf>
    <xf numFmtId="0" fontId="7" fillId="0" borderId="0" applyBorder="0"/>
    <xf numFmtId="0" fontId="7" fillId="0" borderId="0" applyBorder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1" fillId="0" borderId="0">
      <protection locked="0"/>
    </xf>
    <xf numFmtId="279" fontId="7" fillId="0" borderId="0" applyFont="0" applyFill="0" applyBorder="0" applyAlignment="0" applyProtection="0"/>
    <xf numFmtId="189" fontId="7" fillId="0" borderId="0" applyNumberFormat="0" applyFill="0" applyBorder="0" applyAlignment="0" applyProtection="0"/>
    <xf numFmtId="3" fontId="140" fillId="55" borderId="5">
      <alignment horizontal="center"/>
    </xf>
    <xf numFmtId="0" fontId="167" fillId="0" borderId="0">
      <alignment horizontal="centerContinuous"/>
    </xf>
    <xf numFmtId="245" fontId="56" fillId="0" borderId="0" applyFill="0" applyBorder="0" applyProtection="0">
      <alignment horizontal="center"/>
    </xf>
    <xf numFmtId="280" fontId="56" fillId="0" borderId="0" applyFont="0" applyFill="0" applyBorder="0" applyAlignment="0" applyProtection="0">
      <alignment horizontal="centerContinuous"/>
      <protection locked="0"/>
    </xf>
    <xf numFmtId="281" fontId="168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171" fontId="56" fillId="0" borderId="0"/>
    <xf numFmtId="0" fontId="56" fillId="0" borderId="0"/>
    <xf numFmtId="170" fontId="56" fillId="0" borderId="0"/>
    <xf numFmtId="282" fontId="7" fillId="56" borderId="0" applyFont="0" applyBorder="0" applyAlignment="0" applyProtection="0">
      <alignment horizontal="right"/>
      <protection hidden="1"/>
    </xf>
    <xf numFmtId="282" fontId="7" fillId="56" borderId="0" applyFont="0" applyBorder="0" applyAlignment="0" applyProtection="0">
      <alignment horizontal="right"/>
      <protection hidden="1"/>
    </xf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11" fillId="0" borderId="0">
      <alignment horizontal="left"/>
    </xf>
    <xf numFmtId="37" fontId="170" fillId="0" borderId="0"/>
    <xf numFmtId="37" fontId="73" fillId="0" borderId="0">
      <alignment horizontal="right"/>
    </xf>
    <xf numFmtId="204" fontId="106" fillId="0" borderId="52" applyFill="0" applyBorder="0">
      <alignment vertical="center"/>
    </xf>
    <xf numFmtId="283" fontId="171" fillId="0" borderId="0"/>
    <xf numFmtId="284" fontId="7" fillId="0" borderId="0"/>
    <xf numFmtId="204" fontId="56" fillId="0" borderId="0" applyFill="0" applyBorder="0">
      <alignment vertical="center"/>
    </xf>
    <xf numFmtId="38" fontId="51" fillId="0" borderId="0" applyFont="0" applyFill="0" applyBorder="0" applyAlignment="0"/>
    <xf numFmtId="38" fontId="51" fillId="0" borderId="0" applyFont="0" applyFill="0" applyBorder="0" applyAlignment="0"/>
    <xf numFmtId="226" fontId="7" fillId="0" borderId="0" applyFont="0" applyFill="0" applyBorder="0" applyAlignment="0"/>
    <xf numFmtId="226" fontId="7" fillId="0" borderId="0" applyFont="0" applyFill="0" applyBorder="0" applyAlignment="0"/>
    <xf numFmtId="40" fontId="51" fillId="0" borderId="0" applyFont="0" applyFill="0" applyBorder="0" applyAlignment="0"/>
    <xf numFmtId="40" fontId="51" fillId="0" borderId="0" applyFont="0" applyFill="0" applyBorder="0" applyAlignment="0"/>
    <xf numFmtId="273" fontId="51" fillId="0" borderId="0" applyFont="0" applyFill="0" applyBorder="0" applyAlignment="0"/>
    <xf numFmtId="273" fontId="51" fillId="0" borderId="0" applyFont="0" applyFill="0" applyBorder="0" applyAlignment="0"/>
    <xf numFmtId="0" fontId="51" fillId="0" borderId="0"/>
    <xf numFmtId="226" fontId="172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51" fillId="0" borderId="0"/>
    <xf numFmtId="0" fontId="7" fillId="0" borderId="0"/>
    <xf numFmtId="0" fontId="1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9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7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1" fillId="0" borderId="0"/>
    <xf numFmtId="0" fontId="9" fillId="0" borderId="0"/>
    <xf numFmtId="0" fontId="174" fillId="0" borderId="0"/>
    <xf numFmtId="0" fontId="7" fillId="0" borderId="0"/>
    <xf numFmtId="226" fontId="52" fillId="0" borderId="0" applyNumberFormat="0" applyFill="0" applyBorder="0" applyAlignment="0" applyProtection="0"/>
    <xf numFmtId="226" fontId="52" fillId="0" borderId="0" applyNumberFormat="0" applyFill="0" applyBorder="0" applyAlignment="0" applyProtection="0"/>
    <xf numFmtId="285" fontId="7" fillId="0" borderId="0" applyFont="0" applyFill="0" applyBorder="0" applyAlignment="0" applyProtection="0"/>
    <xf numFmtId="285" fontId="7" fillId="0" borderId="0" applyFont="0" applyFill="0" applyBorder="0" applyAlignment="0" applyProtection="0"/>
    <xf numFmtId="189" fontId="7" fillId="0" borderId="0" applyBorder="0" applyAlignment="0">
      <alignment horizontal="centerContinuous"/>
    </xf>
    <xf numFmtId="189" fontId="7" fillId="0" borderId="0" applyFont="0" applyFill="0" applyBorder="0" applyAlignment="0" applyProtection="0"/>
    <xf numFmtId="0" fontId="175" fillId="0" borderId="0"/>
    <xf numFmtId="0" fontId="7" fillId="0" borderId="0">
      <alignment horizontal="left" indent="1"/>
    </xf>
    <xf numFmtId="0" fontId="7" fillId="0" borderId="0"/>
    <xf numFmtId="40" fontId="52" fillId="0" borderId="0">
      <alignment horizontal="left"/>
    </xf>
    <xf numFmtId="40" fontId="52" fillId="0" borderId="0">
      <alignment horizontal="left"/>
    </xf>
    <xf numFmtId="0" fontId="57" fillId="0" borderId="0"/>
    <xf numFmtId="0" fontId="17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9" fontId="179" fillId="0" borderId="0">
      <protection locked="0"/>
    </xf>
    <xf numFmtId="0" fontId="180" fillId="0" borderId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86" fontId="7" fillId="0" borderId="0" applyFont="0" applyFill="0" applyBorder="0" applyAlignment="0" applyProtection="0"/>
    <xf numFmtId="286" fontId="7" fillId="0" borderId="0" applyFont="0" applyFill="0" applyBorder="0" applyAlignment="0" applyProtection="0"/>
    <xf numFmtId="37" fontId="55" fillId="0" borderId="0"/>
    <xf numFmtId="171" fontId="94" fillId="0" borderId="0">
      <protection locked="0"/>
    </xf>
    <xf numFmtId="240" fontId="94" fillId="0" borderId="0">
      <protection locked="0"/>
    </xf>
    <xf numFmtId="0" fontId="94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170" fontId="94" fillId="0" borderId="0">
      <protection locked="0"/>
    </xf>
    <xf numFmtId="170" fontId="7" fillId="0" borderId="0">
      <protection locked="0"/>
    </xf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170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0" fontId="181" fillId="0" borderId="0">
      <alignment horizontal="left"/>
    </xf>
    <xf numFmtId="0" fontId="22" fillId="16" borderId="6" applyNumberFormat="0" applyAlignment="0" applyProtection="0"/>
    <xf numFmtId="0" fontId="22" fillId="16" borderId="6" applyNumberFormat="0" applyAlignment="0" applyProtection="0"/>
    <xf numFmtId="40" fontId="182" fillId="62" borderId="0">
      <alignment horizontal="right"/>
    </xf>
    <xf numFmtId="0" fontId="183" fillId="62" borderId="0">
      <alignment horizontal="right"/>
    </xf>
    <xf numFmtId="0" fontId="58" fillId="0" borderId="0" applyProtection="0"/>
    <xf numFmtId="0" fontId="184" fillId="62" borderId="53"/>
    <xf numFmtId="0" fontId="184" fillId="0" borderId="0" applyBorder="0">
      <alignment horizontal="centerContinuous"/>
    </xf>
    <xf numFmtId="0" fontId="185" fillId="0" borderId="0" applyBorder="0">
      <alignment horizontal="centerContinuous"/>
    </xf>
    <xf numFmtId="0" fontId="22" fillId="16" borderId="6" applyNumberFormat="0" applyAlignment="0" applyProtection="0"/>
    <xf numFmtId="0" fontId="56" fillId="75" borderId="0" applyNumberFormat="0" applyFont="0" applyBorder="0" applyAlignment="0"/>
    <xf numFmtId="287" fontId="56" fillId="0" borderId="0"/>
    <xf numFmtId="1" fontId="186" fillId="0" borderId="0" applyProtection="0">
      <alignment horizontal="right" vertical="center"/>
    </xf>
    <xf numFmtId="288" fontId="121" fillId="0" borderId="0" applyFont="0" applyFill="0" applyBorder="0" applyAlignment="0" applyProtection="0"/>
    <xf numFmtId="289" fontId="89" fillId="0" borderId="0" applyFont="0" applyFill="0" applyBorder="0" applyAlignment="0" applyProtection="0"/>
    <xf numFmtId="29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9" fontId="98" fillId="0" borderId="0" applyFont="0" applyFill="0" applyBorder="0" applyAlignment="0" applyProtection="0"/>
    <xf numFmtId="291" fontId="7" fillId="0" borderId="0" applyFont="0" applyFill="0" applyBorder="0" applyAlignment="0"/>
    <xf numFmtId="292" fontId="7" fillId="0" borderId="0" applyFont="0" applyFill="0" applyBorder="0" applyAlignment="0" applyProtection="0"/>
    <xf numFmtId="0" fontId="187" fillId="0" borderId="0" applyFont="0" applyFill="0" applyBorder="0" applyAlignment="0" applyProtection="0"/>
    <xf numFmtId="277" fontId="7" fillId="0" borderId="0" applyFont="0" applyFill="0" applyBorder="0" applyAlignment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93" fontId="121" fillId="0" borderId="0" applyFont="0" applyFill="0" applyBorder="0" applyAlignment="0" applyProtection="0"/>
    <xf numFmtId="294" fontId="89" fillId="0" borderId="0" applyFont="0" applyFill="0" applyBorder="0" applyAlignment="0" applyProtection="0"/>
    <xf numFmtId="295" fontId="7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89" fillId="0" borderId="0" applyFont="0" applyFill="0" applyBorder="0" applyAlignment="0" applyProtection="0"/>
    <xf numFmtId="298" fontId="7" fillId="0" borderId="0" applyFont="0" applyFill="0" applyBorder="0" applyAlignment="0" applyProtection="0"/>
    <xf numFmtId="299" fontId="121" fillId="0" borderId="0" applyFont="0" applyFill="0" applyBorder="0" applyAlignment="0" applyProtection="0"/>
    <xf numFmtId="300" fontId="89" fillId="0" borderId="0" applyFont="0" applyFill="0" applyBorder="0" applyAlignment="0" applyProtection="0"/>
    <xf numFmtId="301" fontId="7" fillId="0" borderId="0" applyFont="0" applyFill="0" applyBorder="0" applyAlignment="0" applyProtection="0"/>
    <xf numFmtId="302" fontId="122" fillId="0" borderId="0" applyFont="0" applyFill="0" applyBorder="0" applyAlignment="0" applyProtection="0"/>
    <xf numFmtId="303" fontId="122" fillId="0" borderId="0" applyFont="0" applyFill="0" applyBorder="0" applyAlignment="0" applyProtection="0"/>
    <xf numFmtId="10" fontId="55" fillId="0" borderId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04" fontId="7" fillId="0" borderId="21" applyFont="0" applyFill="0" applyBorder="0" applyAlignment="0" applyProtection="0"/>
    <xf numFmtId="0" fontId="188" fillId="0" borderId="0" applyFont="0" applyFill="0" applyBorder="0" applyAlignment="0" applyProtection="0"/>
    <xf numFmtId="225" fontId="7" fillId="0" borderId="21" applyFont="0" applyFill="0" applyBorder="0" applyAlignment="0" applyProtection="0"/>
    <xf numFmtId="305" fontId="7" fillId="0" borderId="0" applyFill="0" applyBorder="0">
      <alignment horizontal="right"/>
      <protection locked="0"/>
    </xf>
    <xf numFmtId="9" fontId="189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10" fontId="55" fillId="0" borderId="0"/>
    <xf numFmtId="10" fontId="160" fillId="0" borderId="37"/>
    <xf numFmtId="307" fontId="168" fillId="0" borderId="0" applyFill="0" applyBorder="0" applyAlignment="0">
      <alignment horizontal="left"/>
    </xf>
    <xf numFmtId="308" fontId="168" fillId="0" borderId="0" applyBorder="0" applyAlignment="0">
      <alignment horizontal="right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1" fillId="0" borderId="0">
      <protection locked="0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51" fillId="0" borderId="0">
      <alignment horizontal="right"/>
    </xf>
    <xf numFmtId="165" fontId="7" fillId="0" borderId="0" applyFont="0" applyFill="0" applyBorder="0" applyAlignment="0" applyProtection="0"/>
    <xf numFmtId="3" fontId="160" fillId="56" borderId="0"/>
    <xf numFmtId="14" fontId="70" fillId="76" borderId="54" applyNumberFormat="0" applyFont="0" applyBorder="0" applyAlignment="0" applyProtection="0">
      <alignment horizontal="center" vertic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91" fillId="0" borderId="39">
      <alignment horizontal="center"/>
    </xf>
    <xf numFmtId="0" fontId="7" fillId="0" borderId="39">
      <alignment horizontal="center"/>
    </xf>
    <xf numFmtId="3" fontId="72" fillId="0" borderId="0" applyFont="0" applyFill="0" applyBorder="0" applyAlignment="0" applyProtection="0"/>
    <xf numFmtId="0" fontId="72" fillId="67" borderId="0" applyNumberFormat="0" applyFont="0" applyBorder="0" applyAlignment="0" applyProtection="0"/>
    <xf numFmtId="0" fontId="192" fillId="0" borderId="0">
      <alignment horizontal="centerContinuous"/>
    </xf>
    <xf numFmtId="3" fontId="193" fillId="0" borderId="0" applyFont="0" applyFill="0" applyBorder="0" applyAlignment="0" applyProtection="0"/>
    <xf numFmtId="0" fontId="124" fillId="0" borderId="0"/>
    <xf numFmtId="3" fontId="160" fillId="0" borderId="37"/>
    <xf numFmtId="3" fontId="194" fillId="0" borderId="37"/>
    <xf numFmtId="3" fontId="194" fillId="0" borderId="55"/>
    <xf numFmtId="171" fontId="195" fillId="0" borderId="0"/>
    <xf numFmtId="309" fontId="7" fillId="0" borderId="0">
      <alignment horizontal="right"/>
      <protection locked="0"/>
    </xf>
    <xf numFmtId="37" fontId="158" fillId="0" borderId="0" applyNumberFormat="0" applyFill="0" applyBorder="0" applyAlignment="0" applyProtection="0"/>
    <xf numFmtId="226" fontId="7" fillId="0" borderId="0" applyNumberFormat="0" applyFill="0" applyBorder="0" applyAlignment="0" applyProtection="0">
      <alignment horizontal="left"/>
    </xf>
    <xf numFmtId="226" fontId="7" fillId="0" borderId="0" applyNumberFormat="0" applyFill="0" applyBorder="0" applyAlignment="0" applyProtection="0">
      <alignment horizontal="left"/>
    </xf>
    <xf numFmtId="0" fontId="196" fillId="0" borderId="26" applyNumberFormat="0" applyFill="0" applyBorder="0" applyAlignment="0" applyProtection="0">
      <protection hidden="1"/>
    </xf>
    <xf numFmtId="189" fontId="7" fillId="77" borderId="0" applyFill="0" applyBorder="0" applyAlignment="0" applyProtection="0"/>
    <xf numFmtId="0" fontId="56" fillId="0" borderId="0">
      <alignment horizontal="right"/>
    </xf>
    <xf numFmtId="0" fontId="197" fillId="0" borderId="0" applyNumberFormat="0" applyFill="0" applyBorder="0" applyProtection="0">
      <alignment horizontal="right" vertical="center"/>
    </xf>
    <xf numFmtId="38" fontId="198" fillId="0" borderId="0"/>
    <xf numFmtId="0" fontId="51" fillId="0" borderId="0">
      <alignment horizontal="right"/>
    </xf>
    <xf numFmtId="0" fontId="51" fillId="0" borderId="0">
      <alignment horizontal="right"/>
    </xf>
    <xf numFmtId="3" fontId="144" fillId="63" borderId="33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58" fillId="0" borderId="0">
      <alignment horizontal="center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155" fillId="0" borderId="0"/>
    <xf numFmtId="189" fontId="155" fillId="0" borderId="0"/>
    <xf numFmtId="189" fontId="155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3" fontId="199" fillId="55" borderId="0">
      <alignment horizontal="left"/>
    </xf>
    <xf numFmtId="0" fontId="200" fillId="0" borderId="56">
      <alignment vertical="center"/>
    </xf>
    <xf numFmtId="310" fontId="7" fillId="0" borderId="0" applyFill="0" applyBorder="0">
      <alignment horizontal="right"/>
      <protection hidden="1"/>
    </xf>
    <xf numFmtId="0" fontId="201" fillId="68" borderId="21">
      <alignment horizontal="center" vertical="center" wrapText="1"/>
      <protection hidden="1"/>
    </xf>
    <xf numFmtId="38" fontId="72" fillId="0" borderId="0" applyFont="0" applyFill="0" applyBorder="0" applyAlignment="0" applyProtection="0"/>
    <xf numFmtId="311" fontId="7" fillId="0" borderId="0">
      <protection locked="0"/>
    </xf>
    <xf numFmtId="168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5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1" fillId="0" borderId="0" applyFont="0" applyFill="0" applyBorder="0" applyAlignment="0" applyProtection="0"/>
    <xf numFmtId="226" fontId="89" fillId="1" borderId="0" applyNumberFormat="0" applyFont="0" applyBorder="0" applyAlignment="0" applyProtection="0"/>
    <xf numFmtId="226" fontId="7" fillId="1" borderId="0" applyNumberFormat="0" applyFont="0" applyBorder="0" applyAlignment="0" applyProtection="0"/>
    <xf numFmtId="0" fontId="179" fillId="78" borderId="0" applyNumberFormat="0" applyFont="0" applyBorder="0" applyAlignment="0" applyProtection="0"/>
    <xf numFmtId="171" fontId="56" fillId="0" borderId="40"/>
    <xf numFmtId="0" fontId="56" fillId="0" borderId="40"/>
    <xf numFmtId="170" fontId="56" fillId="0" borderId="40"/>
    <xf numFmtId="172" fontId="202" fillId="0" borderId="31"/>
    <xf numFmtId="3" fontId="84" fillId="55" borderId="0">
      <alignment horizontal="left"/>
    </xf>
    <xf numFmtId="0" fontId="58" fillId="0" borderId="0">
      <alignment horizontal="center"/>
    </xf>
    <xf numFmtId="312" fontId="7" fillId="0" borderId="0" applyFill="0" applyBorder="0" applyAlignment="0" applyProtection="0">
      <alignment wrapText="1"/>
    </xf>
    <xf numFmtId="0" fontId="102" fillId="0" borderId="0" applyFill="0" applyBorder="0" applyAlignment="0" applyProtection="0"/>
    <xf numFmtId="3" fontId="74" fillId="79" borderId="0">
      <alignment horizontal="left"/>
    </xf>
    <xf numFmtId="177" fontId="203" fillId="0" borderId="0"/>
    <xf numFmtId="37" fontId="204" fillId="0" borderId="0"/>
    <xf numFmtId="37" fontId="135" fillId="0" borderId="0"/>
    <xf numFmtId="38" fontId="205" fillId="0" borderId="0" applyFill="0" applyBorder="0" applyAlignment="0" applyProtection="0"/>
    <xf numFmtId="302" fontId="206" fillId="0" borderId="0" applyFill="0" applyBorder="0" applyAlignment="0" applyProtection="0"/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0" fontId="86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207" fillId="0" borderId="0" applyBorder="0" applyProtection="0">
      <alignment vertical="center"/>
    </xf>
    <xf numFmtId="264" fontId="207" fillId="0" borderId="5" applyBorder="0" applyProtection="0">
      <alignment horizontal="right" vertical="center"/>
    </xf>
    <xf numFmtId="0" fontId="208" fillId="58" borderId="0" applyBorder="0" applyProtection="0">
      <alignment horizontal="centerContinuous" vertical="center"/>
    </xf>
    <xf numFmtId="0" fontId="208" fillId="77" borderId="5" applyBorder="0" applyProtection="0">
      <alignment horizontal="centerContinuous" vertical="center"/>
    </xf>
    <xf numFmtId="0" fontId="207" fillId="0" borderId="0" applyBorder="0" applyProtection="0">
      <alignment vertical="center"/>
    </xf>
    <xf numFmtId="0" fontId="52" fillId="0" borderId="0" applyBorder="0" applyProtection="0">
      <alignment horizontal="left"/>
    </xf>
    <xf numFmtId="0" fontId="57" fillId="0" borderId="0"/>
    <xf numFmtId="0" fontId="209" fillId="0" borderId="0" applyFill="0" applyBorder="0" applyProtection="0">
      <alignment horizontal="left"/>
    </xf>
    <xf numFmtId="0" fontId="137" fillId="0" borderId="27" applyFill="0" applyBorder="0" applyProtection="0">
      <alignment horizontal="left" vertical="top"/>
    </xf>
    <xf numFmtId="0" fontId="106" fillId="0" borderId="0">
      <alignment horizontal="centerContinuous"/>
    </xf>
    <xf numFmtId="17" fontId="210" fillId="0" borderId="0" applyNumberFormat="0" applyFill="0" applyBorder="0">
      <alignment horizontal="left"/>
    </xf>
    <xf numFmtId="17" fontId="210" fillId="0" borderId="0" applyNumberFormat="0" applyFill="0" applyBorder="0">
      <alignment horizontal="right"/>
    </xf>
    <xf numFmtId="17" fontId="211" fillId="0" borderId="0" applyNumberFormat="0" applyFill="0" applyBorder="0">
      <alignment horizontal="right"/>
    </xf>
    <xf numFmtId="0" fontId="212" fillId="0" borderId="0"/>
    <xf numFmtId="0" fontId="7" fillId="0" borderId="0"/>
    <xf numFmtId="0" fontId="86" fillId="0" borderId="5">
      <alignment horizontal="center"/>
    </xf>
    <xf numFmtId="313" fontId="7" fillId="69" borderId="0">
      <alignment horizontal="left"/>
    </xf>
    <xf numFmtId="0" fontId="213" fillId="0" borderId="0"/>
    <xf numFmtId="0" fontId="214" fillId="0" borderId="0"/>
    <xf numFmtId="49" fontId="82" fillId="0" borderId="0" applyFill="0" applyBorder="0" applyAlignment="0"/>
    <xf numFmtId="314" fontId="7" fillId="0" borderId="0" applyFill="0" applyBorder="0" applyAlignment="0"/>
    <xf numFmtId="315" fontId="7" fillId="0" borderId="0" applyFill="0" applyBorder="0" applyAlignment="0"/>
    <xf numFmtId="0" fontId="110" fillId="0" borderId="0">
      <alignment vertical="center"/>
    </xf>
    <xf numFmtId="0" fontId="5" fillId="0" borderId="0"/>
    <xf numFmtId="316" fontId="7" fillId="0" borderId="0" applyFill="0" applyBorder="0" applyAlignment="0" applyProtection="0">
      <alignment horizontal="right"/>
    </xf>
    <xf numFmtId="316" fontId="7" fillId="0" borderId="0" applyFill="0" applyBorder="0" applyAlignment="0" applyProtection="0">
      <alignment horizontal="right"/>
    </xf>
    <xf numFmtId="0" fontId="215" fillId="0" borderId="0" applyFill="0" applyBorder="0" applyProtection="0">
      <alignment horizontal="left"/>
    </xf>
    <xf numFmtId="18" fontId="216" fillId="0" borderId="0" applyFont="0" applyFill="0" applyBorder="0" applyAlignment="0" applyProtection="0">
      <alignment horizontal="left"/>
    </xf>
    <xf numFmtId="0" fontId="91" fillId="69" borderId="0"/>
    <xf numFmtId="0" fontId="125" fillId="69" borderId="0"/>
    <xf numFmtId="0" fontId="217" fillId="69" borderId="0">
      <alignment horizontal="left"/>
    </xf>
    <xf numFmtId="0" fontId="218" fillId="69" borderId="57">
      <alignment horizontal="center"/>
    </xf>
    <xf numFmtId="0" fontId="91" fillId="69" borderId="0"/>
    <xf numFmtId="0" fontId="219" fillId="1" borderId="0" applyNumberFormat="0" applyBorder="0" applyProtection="0">
      <alignment horizontal="left" vertical="center"/>
    </xf>
    <xf numFmtId="0" fontId="72" fillId="0" borderId="0" applyBorder="0"/>
    <xf numFmtId="0" fontId="86" fillId="0" borderId="5">
      <alignment horizontal="centerContinuous"/>
    </xf>
    <xf numFmtId="177" fontId="220" fillId="0" borderId="51"/>
    <xf numFmtId="0" fontId="125" fillId="0" borderId="5" applyNumberFormat="0" applyProtection="0">
      <alignment horizontal="center"/>
    </xf>
    <xf numFmtId="1" fontId="221" fillId="0" borderId="0">
      <alignment horizontal="left"/>
    </xf>
    <xf numFmtId="37" fontId="222" fillId="0" borderId="0"/>
    <xf numFmtId="3" fontId="223" fillId="55" borderId="0">
      <alignment horizontal="left"/>
    </xf>
    <xf numFmtId="3" fontId="140" fillId="56" borderId="5">
      <alignment horizontal="center" vertical="center"/>
    </xf>
    <xf numFmtId="3" fontId="224" fillId="56" borderId="0"/>
    <xf numFmtId="3" fontId="225" fillId="56" borderId="0"/>
    <xf numFmtId="3" fontId="226" fillId="56" borderId="0"/>
    <xf numFmtId="3" fontId="227" fillId="79" borderId="0">
      <alignment horizontal="left"/>
    </xf>
    <xf numFmtId="0" fontId="98" fillId="0" borderId="58" applyNumberFormat="0" applyFont="0" applyFill="0" applyAlignment="0" applyProtection="0"/>
    <xf numFmtId="0" fontId="7" fillId="16" borderId="26"/>
    <xf numFmtId="0" fontId="7" fillId="16" borderId="26"/>
    <xf numFmtId="3" fontId="226" fillId="56" borderId="0">
      <alignment horizontal="right"/>
    </xf>
    <xf numFmtId="0" fontId="56" fillId="0" borderId="59" applyNumberFormat="0" applyFont="0" applyFill="0" applyAlignment="0" applyProtection="0"/>
    <xf numFmtId="37" fontId="228" fillId="0" borderId="0"/>
    <xf numFmtId="3" fontId="75" fillId="80" borderId="0">
      <alignment horizontal="right"/>
    </xf>
    <xf numFmtId="171" fontId="56" fillId="0" borderId="58"/>
    <xf numFmtId="0" fontId="56" fillId="0" borderId="58"/>
    <xf numFmtId="170" fontId="56" fillId="0" borderId="58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177" fontId="229" fillId="0" borderId="0">
      <alignment horizontal="left"/>
      <protection locked="0"/>
    </xf>
    <xf numFmtId="0" fontId="7" fillId="0" borderId="0"/>
    <xf numFmtId="10" fontId="122" fillId="0" borderId="5" applyNumberFormat="0" applyFont="0" applyFill="0" applyAlignment="0" applyProtection="0"/>
    <xf numFmtId="10" fontId="122" fillId="0" borderId="60" applyNumberFormat="0" applyFont="0" applyFill="0" applyAlignment="0" applyProtection="0"/>
    <xf numFmtId="0" fontId="230" fillId="0" borderId="0">
      <alignment horizontal="fill"/>
    </xf>
    <xf numFmtId="0" fontId="231" fillId="0" borderId="0">
      <alignment horizontal="centerContinuous"/>
    </xf>
    <xf numFmtId="38" fontId="232" fillId="0" borderId="0" applyNumberFormat="0" applyBorder="0" applyAlignment="0">
      <protection locked="0"/>
    </xf>
    <xf numFmtId="0" fontId="233" fillId="0" borderId="0" applyNumberFormat="0"/>
    <xf numFmtId="317" fontId="7" fillId="0" borderId="0" applyFont="0" applyFill="0" applyBorder="0" applyAlignment="0" applyProtection="0"/>
    <xf numFmtId="318" fontId="7" fillId="0" borderId="0" applyFont="0" applyFill="0" applyBorder="0" applyAlignment="0" applyProtection="0"/>
    <xf numFmtId="4" fontId="234" fillId="0" borderId="37"/>
    <xf numFmtId="319" fontId="160" fillId="0" borderId="37"/>
    <xf numFmtId="4" fontId="194" fillId="0" borderId="37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" fontId="7" fillId="0" borderId="0" applyFill="0" applyBorder="0" applyAlignment="0" applyProtection="0"/>
    <xf numFmtId="320" fontId="7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180" fillId="0" borderId="0" applyFont="0" applyFill="0" applyBorder="0" applyAlignment="0" applyProtection="0"/>
    <xf numFmtId="323" fontId="18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26" fontId="235" fillId="0" borderId="0" applyNumberFormat="0" applyFill="0" applyBorder="0" applyAlignment="0" applyProtection="0"/>
    <xf numFmtId="0" fontId="155" fillId="0" borderId="0" applyFont="0" applyFill="0" applyBorder="0" applyAlignment="0" applyProtection="0"/>
    <xf numFmtId="324" fontId="56" fillId="0" borderId="0" applyFont="0" applyFill="0" applyBorder="0" applyAlignment="0" applyProtection="0"/>
    <xf numFmtId="283" fontId="54" fillId="0" borderId="0"/>
    <xf numFmtId="0" fontId="7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4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229" fontId="56" fillId="0" borderId="0"/>
    <xf numFmtId="230" fontId="56" fillId="0" borderId="0"/>
    <xf numFmtId="231" fontId="56" fillId="0" borderId="0"/>
    <xf numFmtId="331" fontId="89" fillId="0" borderId="0" applyFont="0" applyFill="0" applyBorder="0" applyAlignment="0" applyProtection="0"/>
    <xf numFmtId="332" fontId="89" fillId="0" borderId="0" applyFont="0" applyFill="0" applyBorder="0" applyAlignment="0" applyProtection="0"/>
    <xf numFmtId="333" fontId="89" fillId="0" borderId="0" applyFont="0" applyFill="0" applyBorder="0" applyAlignment="0" applyProtection="0"/>
    <xf numFmtId="334" fontId="89" fillId="0" borderId="0" applyFont="0" applyFill="0" applyBorder="0" applyAlignment="0" applyProtection="0"/>
    <xf numFmtId="335" fontId="7" fillId="0" borderId="0" applyFont="0" applyFill="0" applyBorder="0" applyAlignment="0" applyProtection="0"/>
    <xf numFmtId="336" fontId="89" fillId="0" borderId="0" applyFont="0" applyFill="0" applyBorder="0" applyAlignment="0" applyProtection="0"/>
    <xf numFmtId="337" fontId="89" fillId="0" borderId="0" applyFont="0" applyFill="0" applyBorder="0" applyAlignment="0" applyProtection="0"/>
    <xf numFmtId="338" fontId="89" fillId="0" borderId="0" applyFont="0" applyFill="0" applyBorder="0" applyAlignment="0" applyProtection="0"/>
    <xf numFmtId="339" fontId="89" fillId="0" borderId="0" applyFont="0" applyFill="0" applyBorder="0" applyAlignment="0" applyProtection="0"/>
    <xf numFmtId="340" fontId="7" fillId="0" borderId="0" applyFont="0" applyFill="0" applyBorder="0" applyAlignment="0" applyProtection="0"/>
    <xf numFmtId="1" fontId="236" fillId="0" borderId="5">
      <alignment horizontal="center"/>
    </xf>
    <xf numFmtId="341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1" fontId="237" fillId="0" borderId="26">
      <alignment horizontal="center"/>
    </xf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238" fillId="0" borderId="0" applyFont="0" applyFill="0" applyBorder="0" applyAlignment="0" applyProtection="0"/>
    <xf numFmtId="343" fontId="238" fillId="0" borderId="0" applyFont="0" applyFill="0" applyBorder="0" applyAlignment="0" applyProtection="0"/>
    <xf numFmtId="0" fontId="7" fillId="0" borderId="0"/>
    <xf numFmtId="0" fontId="7" fillId="0" borderId="0"/>
    <xf numFmtId="168" fontId="239" fillId="0" borderId="0" applyFont="0" applyFill="0" applyBorder="0" applyAlignment="0" applyProtection="0"/>
    <xf numFmtId="170" fontId="239" fillId="0" borderId="0" applyFont="0" applyFill="0" applyBorder="0" applyAlignment="0" applyProtection="0"/>
    <xf numFmtId="344" fontId="239" fillId="0" borderId="0" applyFont="0" applyFill="0" applyBorder="0" applyAlignment="0" applyProtection="0"/>
    <xf numFmtId="345" fontId="239" fillId="0" borderId="0" applyFont="0" applyFill="0" applyBorder="0" applyAlignment="0" applyProtection="0"/>
    <xf numFmtId="0" fontId="49" fillId="0" borderId="0"/>
    <xf numFmtId="0" fontId="7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7" fillId="0" borderId="0"/>
    <xf numFmtId="0" fontId="7" fillId="0" borderId="0"/>
    <xf numFmtId="0" fontId="15" fillId="4" borderId="0" applyNumberFormat="0" applyBorder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9" fillId="7" borderId="1" applyNumberFormat="0" applyAlignment="0" applyProtection="0"/>
    <xf numFmtId="0" fontId="21" fillId="22" borderId="0" applyNumberFormat="0" applyBorder="0" applyAlignment="0" applyProtection="0"/>
    <xf numFmtId="0" fontId="7" fillId="23" borderId="4" applyNumberFormat="0" applyFont="0" applyAlignment="0" applyProtection="0"/>
    <xf numFmtId="0" fontId="25" fillId="0" borderId="0" applyNumberFormat="0" applyFill="0" applyBorder="0" applyAlignment="0" applyProtection="0"/>
    <xf numFmtId="0" fontId="56" fillId="0" borderId="59" applyNumberFormat="0" applyFont="0" applyFill="0" applyAlignment="0" applyProtection="0"/>
    <xf numFmtId="0" fontId="56" fillId="0" borderId="59" applyNumberFormat="0" applyFont="0" applyFill="0" applyAlignment="0" applyProtection="0"/>
    <xf numFmtId="170" fontId="4" fillId="0" borderId="0" applyFont="0" applyFill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15" applyNumberFormat="0" applyAlignment="0" applyProtection="0"/>
    <xf numFmtId="0" fontId="40" fillId="28" borderId="16" applyNumberFormat="0" applyAlignment="0" applyProtection="0"/>
    <xf numFmtId="0" fontId="41" fillId="28" borderId="15" applyNumberFormat="0" applyAlignment="0" applyProtection="0"/>
    <xf numFmtId="0" fontId="42" fillId="0" borderId="17" applyNumberFormat="0" applyFill="0" applyAlignment="0" applyProtection="0"/>
    <xf numFmtId="0" fontId="43" fillId="29" borderId="18" applyNumberFormat="0" applyAlignment="0" applyProtection="0"/>
    <xf numFmtId="0" fontId="44" fillId="0" borderId="0" applyNumberFormat="0" applyFill="0" applyBorder="0" applyAlignment="0" applyProtection="0"/>
    <xf numFmtId="0" fontId="4" fillId="30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7" fillId="54" borderId="0" applyNumberFormat="0" applyBorder="0" applyAlignment="0" applyProtection="0"/>
    <xf numFmtId="170" fontId="4" fillId="0" borderId="0" applyFont="0" applyFill="0" applyBorder="0" applyAlignment="0" applyProtection="0"/>
    <xf numFmtId="0" fontId="49" fillId="0" borderId="0"/>
    <xf numFmtId="9" fontId="4" fillId="0" borderId="0" applyFont="0" applyFill="0" applyBorder="0" applyAlignment="0" applyProtection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 applyFont="0" applyFill="0" applyBorder="0" applyAlignment="0" applyProtection="0"/>
    <xf numFmtId="177" fontId="53" fillId="0" borderId="0"/>
    <xf numFmtId="177" fontId="53" fillId="0" borderId="0"/>
    <xf numFmtId="189" fontId="7" fillId="0" borderId="0" applyFont="0" applyFill="0" applyBorder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53" fillId="0" borderId="0"/>
    <xf numFmtId="177" fontId="53" fillId="0" borderId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7" fillId="0" borderId="31" applyNumberFormat="0" applyFont="0" applyFill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54" fillId="0" borderId="0" applyNumberFormat="0" applyFill="0" applyBorder="0" applyAlignment="0">
      <alignment vertical="center"/>
    </xf>
    <xf numFmtId="9" fontId="7" fillId="0" borderId="0"/>
    <xf numFmtId="0" fontId="72" fillId="0" borderId="0"/>
    <xf numFmtId="2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241" fillId="56" borderId="21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" fontId="241" fillId="81" borderId="61" applyProtection="0">
      <alignment horizontal="right" vertical="top"/>
    </xf>
    <xf numFmtId="49" fontId="241" fillId="56" borderId="62" applyProtection="0">
      <alignment horizontal="left" vertical="top"/>
    </xf>
    <xf numFmtId="49" fontId="241" fillId="81" borderId="61" applyProtection="0">
      <alignment horizontal="right" vertical="top"/>
    </xf>
    <xf numFmtId="49" fontId="241" fillId="56" borderId="61" applyProtection="0">
      <alignment horizontal="left" vertical="top"/>
    </xf>
    <xf numFmtId="0" fontId="241" fillId="81" borderId="61" applyNumberFormat="0" applyProtection="0">
      <alignment horizontal="right" vertical="top"/>
    </xf>
    <xf numFmtId="49" fontId="241" fillId="56" borderId="21" applyProtection="0">
      <alignment horizontal="right" vertical="top"/>
    </xf>
    <xf numFmtId="4" fontId="241" fillId="61" borderId="61" applyProtection="0">
      <alignment horizontal="right" vertical="top"/>
    </xf>
    <xf numFmtId="266" fontId="241" fillId="81" borderId="61" applyProtection="0">
      <alignment horizontal="right" vertical="top"/>
    </xf>
    <xf numFmtId="4" fontId="241" fillId="81" borderId="61" applyProtection="0">
      <alignment horizontal="right" vertical="top"/>
    </xf>
    <xf numFmtId="49" fontId="242" fillId="81" borderId="61" applyProtection="0">
      <alignment horizontal="left" vertical="top"/>
    </xf>
    <xf numFmtId="0" fontId="241" fillId="61" borderId="61" applyNumberFormat="0" applyProtection="0">
      <alignment horizontal="right" vertical="top"/>
    </xf>
    <xf numFmtId="4" fontId="242" fillId="81" borderId="61" applyProtection="0">
      <alignment horizontal="right" vertical="top"/>
    </xf>
    <xf numFmtId="0" fontId="241" fillId="61" borderId="61" applyProtection="0">
      <alignment horizontal="right" vertical="top"/>
    </xf>
    <xf numFmtId="266" fontId="241" fillId="61" borderId="61" applyProtection="0">
      <alignment horizontal="right" vertical="top"/>
    </xf>
    <xf numFmtId="4" fontId="241" fillId="61" borderId="61" applyProtection="0">
      <alignment horizontal="right" vertical="top"/>
    </xf>
    <xf numFmtId="49" fontId="242" fillId="61" borderId="61" applyProtection="0">
      <alignment horizontal="left" vertical="top"/>
    </xf>
    <xf numFmtId="49" fontId="241" fillId="56" borderId="21" applyProtection="0">
      <alignment horizontal="left" vertical="top"/>
    </xf>
    <xf numFmtId="4" fontId="242" fillId="61" borderId="61" applyProtection="0">
      <alignment horizontal="right" vertical="top"/>
    </xf>
    <xf numFmtId="0" fontId="243" fillId="62" borderId="61" applyNumberFormat="0" applyProtection="0">
      <alignment horizontal="right" vertical="top"/>
    </xf>
    <xf numFmtId="49" fontId="242" fillId="82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0" fontId="243" fillId="62" borderId="61" applyProtection="0">
      <alignment horizontal="right" vertical="top"/>
    </xf>
    <xf numFmtId="266" fontId="243" fillId="62" borderId="61" applyProtection="0">
      <alignment horizontal="right" vertical="top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4" fontId="243" fillId="62" borderId="61" applyProtection="0">
      <alignment horizontal="right" vertical="top"/>
    </xf>
    <xf numFmtId="49" fontId="244" fillId="81" borderId="61" applyProtection="0">
      <alignment horizontal="left" vertical="top"/>
    </xf>
    <xf numFmtId="0" fontId="241" fillId="62" borderId="61" applyNumberFormat="0" applyProtection="0">
      <alignment horizontal="right" vertical="top"/>
    </xf>
    <xf numFmtId="4" fontId="244" fillId="81" borderId="61" applyProtection="0">
      <alignment horizontal="right" vertical="top"/>
    </xf>
    <xf numFmtId="0" fontId="241" fillId="62" borderId="61" applyProtection="0">
      <alignment horizontal="right" vertical="top"/>
    </xf>
    <xf numFmtId="266" fontId="241" fillId="62" borderId="61" applyProtection="0">
      <alignment horizontal="right" vertical="top"/>
    </xf>
    <xf numFmtId="49" fontId="244" fillId="82" borderId="61" applyProtection="0">
      <alignment horizontal="right" vertical="top"/>
    </xf>
    <xf numFmtId="4" fontId="241" fillId="62" borderId="61" applyProtection="0">
      <alignment horizontal="right" vertical="top"/>
    </xf>
    <xf numFmtId="0" fontId="244" fillId="81" borderId="61" applyNumberFormat="0" applyProtection="0">
      <alignment horizontal="right" vertical="top"/>
    </xf>
    <xf numFmtId="49" fontId="245" fillId="61" borderId="61" applyProtection="0">
      <alignment horizontal="left" vertical="top"/>
    </xf>
    <xf numFmtId="49" fontId="244" fillId="81" borderId="61" applyProtection="0">
      <alignment horizontal="left" vertical="top"/>
    </xf>
    <xf numFmtId="4" fontId="245" fillId="61" borderId="61" applyProtection="0">
      <alignment horizontal="right" vertical="top"/>
    </xf>
    <xf numFmtId="4" fontId="244" fillId="81" borderId="61" applyProtection="0">
      <alignment horizontal="right" vertical="top"/>
    </xf>
    <xf numFmtId="0" fontId="245" fillId="81" borderId="61" applyNumberFormat="0" applyProtection="0">
      <alignment horizontal="right" vertical="top"/>
    </xf>
    <xf numFmtId="0" fontId="245" fillId="81" borderId="61" applyNumberFormat="0" applyProtection="0">
      <alignment horizontal="right" vertical="top"/>
    </xf>
    <xf numFmtId="49" fontId="245" fillId="81" borderId="61" applyProtection="0">
      <alignment horizontal="left" vertical="top"/>
    </xf>
    <xf numFmtId="49" fontId="245" fillId="81" borderId="61" applyProtection="0">
      <alignment horizontal="left" vertical="top"/>
    </xf>
    <xf numFmtId="4" fontId="245" fillId="81" borderId="61" applyProtection="0">
      <alignment horizontal="right" vertical="top"/>
    </xf>
    <xf numFmtId="4" fontId="245" fillId="81" borderId="61" applyProtection="0">
      <alignment horizontal="right" vertical="top"/>
    </xf>
    <xf numFmtId="176" fontId="7" fillId="56" borderId="63" applyNumberFormat="0" applyFill="0" applyBorder="0">
      <alignment vertical="top" wrapText="1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244" fillId="61" borderId="61" applyNumberFormat="0" applyProtection="0">
      <alignment horizontal="right" vertical="top"/>
    </xf>
    <xf numFmtId="0" fontId="245" fillId="61" borderId="61" applyNumberFormat="0" applyProtection="0">
      <alignment horizontal="right" vertical="top"/>
    </xf>
    <xf numFmtId="49" fontId="244" fillId="61" borderId="61" applyProtection="0">
      <alignment horizontal="left" vertical="top"/>
    </xf>
    <xf numFmtId="49" fontId="245" fillId="61" borderId="61" applyProtection="0">
      <alignment horizontal="left" vertical="top"/>
    </xf>
    <xf numFmtId="4" fontId="244" fillId="61" borderId="61" applyProtection="0">
      <alignment horizontal="right" vertical="top"/>
    </xf>
    <xf numFmtId="4" fontId="245" fillId="61" borderId="61" applyProtection="0">
      <alignment horizontal="right" vertical="top"/>
    </xf>
    <xf numFmtId="49" fontId="241" fillId="83" borderId="23" applyProtection="0">
      <alignment horizontal="left" vertical="top" wrapText="1"/>
    </xf>
    <xf numFmtId="49" fontId="241" fillId="83" borderId="23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62" applyProtection="0">
      <alignment horizontal="left" vertical="top"/>
    </xf>
    <xf numFmtId="49" fontId="241" fillId="83" borderId="62" applyProtection="0">
      <alignment horizontal="left" vertical="top"/>
    </xf>
    <xf numFmtId="49" fontId="241" fillId="83" borderId="61" applyProtection="0">
      <alignment horizontal="left" vertical="top"/>
    </xf>
    <xf numFmtId="49" fontId="241" fillId="83" borderId="61" applyProtection="0">
      <alignment horizontal="left" vertical="top"/>
    </xf>
    <xf numFmtId="49" fontId="241" fillId="56" borderId="24" applyProtection="0">
      <alignment horizontal="left" vertical="top" wrapText="1"/>
    </xf>
    <xf numFmtId="49" fontId="241" fillId="56" borderId="24" applyProtection="0">
      <alignment horizontal="left" vertical="top" wrapText="1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49" fontId="241" fillId="56" borderId="21" applyProtection="0">
      <alignment horizontal="center" vertical="top"/>
    </xf>
    <xf numFmtId="49" fontId="241" fillId="56" borderId="42" applyProtection="0">
      <alignment horizontal="center" vertical="top"/>
    </xf>
    <xf numFmtId="49" fontId="241" fillId="56" borderId="21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center" vertical="top"/>
    </xf>
    <xf numFmtId="49" fontId="241" fillId="56" borderId="42" applyProtection="0">
      <alignment horizontal="left" vertical="top"/>
    </xf>
    <xf numFmtId="49" fontId="241" fillId="56" borderId="42" applyProtection="0">
      <alignment horizontal="left" vertical="top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3" applyProtection="0">
      <alignment horizontal="left" vertical="top" wrapText="1"/>
    </xf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49" fontId="241" fillId="61" borderId="61" applyProtection="0">
      <alignment horizontal="right" vertical="top"/>
    </xf>
    <xf numFmtId="49" fontId="241" fillId="56" borderId="24" applyProtection="0">
      <alignment horizontal="left" vertical="top" wrapText="1"/>
    </xf>
    <xf numFmtId="4" fontId="241" fillId="81" borderId="61" applyProtection="0">
      <alignment horizontal="right" vertical="top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9" fillId="84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87" borderId="0" applyNumberFormat="0" applyBorder="0" applyAlignment="0" applyProtection="0"/>
    <xf numFmtId="0" fontId="10" fillId="88" borderId="0" applyNumberFormat="0" applyBorder="0" applyAlignment="0" applyProtection="0"/>
    <xf numFmtId="0" fontId="9" fillId="86" borderId="0" applyNumberFormat="0" applyBorder="0" applyAlignment="0" applyProtection="0"/>
    <xf numFmtId="0" fontId="9" fillId="89" borderId="0" applyNumberFormat="0" applyBorder="0" applyAlignment="0" applyProtection="0"/>
    <xf numFmtId="0" fontId="10" fillId="87" borderId="0" applyNumberFormat="0" applyBorder="0" applyAlignment="0" applyProtection="0"/>
    <xf numFmtId="0" fontId="9" fillId="84" borderId="0" applyNumberFormat="0" applyBorder="0" applyAlignment="0" applyProtection="0"/>
    <xf numFmtId="0" fontId="9" fillId="87" borderId="0" applyNumberFormat="0" applyBorder="0" applyAlignment="0" applyProtection="0"/>
    <xf numFmtId="0" fontId="10" fillId="87" borderId="0" applyNumberFormat="0" applyBorder="0" applyAlignment="0" applyProtection="0"/>
    <xf numFmtId="0" fontId="9" fillId="90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91" borderId="0" applyNumberFormat="0" applyBorder="0" applyAlignment="0" applyProtection="0"/>
    <xf numFmtId="0" fontId="10" fillId="91" borderId="0" applyNumberFormat="0" applyBorder="0" applyAlignment="0" applyProtection="0"/>
    <xf numFmtId="0" fontId="124" fillId="0" borderId="0"/>
    <xf numFmtId="1" fontId="52" fillId="0" borderId="23">
      <alignment horizontal="right"/>
    </xf>
    <xf numFmtId="0" fontId="55" fillId="0" borderId="0">
      <alignment horizontal="center" wrapText="1"/>
      <protection locked="0"/>
    </xf>
    <xf numFmtId="0" fontId="189" fillId="16" borderId="26" applyNumberFormat="0" applyFont="0" applyBorder="0" applyAlignment="0" applyProtection="0">
      <protection hidden="1"/>
    </xf>
    <xf numFmtId="0" fontId="86" fillId="0" borderId="5">
      <alignment horizontal="centerContinuous"/>
    </xf>
    <xf numFmtId="225" fontId="94" fillId="0" borderId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66" borderId="35"/>
    <xf numFmtId="3" fontId="97" fillId="0" borderId="37">
      <alignment horizontal="center"/>
    </xf>
    <xf numFmtId="0" fontId="246" fillId="0" borderId="64">
      <alignment horizontal="left"/>
    </xf>
    <xf numFmtId="0" fontId="247" fillId="0" borderId="64">
      <alignment horizontal="left" wrapText="1"/>
    </xf>
    <xf numFmtId="0" fontId="15" fillId="4" borderId="0" applyNumberFormat="0" applyBorder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94" fillId="0" borderId="40"/>
    <xf numFmtId="170" fontId="94" fillId="0" borderId="40"/>
    <xf numFmtId="0" fontId="109" fillId="0" borderId="5">
      <alignment horizontal="centerContinuous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236" fontId="7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247" fillId="0" borderId="65">
      <alignment horizontal="right" vertical="center"/>
    </xf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46" fillId="92" borderId="1">
      <alignment horizontal="center" vertical="center" wrapText="1"/>
    </xf>
    <xf numFmtId="171" fontId="56" fillId="0" borderId="0"/>
    <xf numFmtId="240" fontId="87" fillId="0" borderId="0" applyFont="0"/>
    <xf numFmtId="38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43" fontId="4" fillId="0" borderId="0" applyFont="0" applyFill="0" applyBorder="0" applyAlignment="0" applyProtection="0"/>
    <xf numFmtId="298" fontId="58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249" fillId="0" borderId="0" applyNumberFormat="0" applyAlignment="0">
      <alignment horizontal="left"/>
    </xf>
    <xf numFmtId="0" fontId="53" fillId="0" borderId="0" applyNumberFormat="0" applyAlignment="0"/>
    <xf numFmtId="211" fontId="7" fillId="0" borderId="0">
      <alignment horizontal="right"/>
    </xf>
    <xf numFmtId="164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7" fontId="7" fillId="56" borderId="0" applyFont="0" applyBorder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250" fillId="0" borderId="64">
      <alignment horizontal="left"/>
    </xf>
    <xf numFmtId="0" fontId="251" fillId="0" borderId="64">
      <alignment horizontal="left" wrapText="1"/>
    </xf>
    <xf numFmtId="348" fontId="56" fillId="0" borderId="0"/>
    <xf numFmtId="16" fontId="56" fillId="0" borderId="0"/>
    <xf numFmtId="17" fontId="56" fillId="0" borderId="0"/>
    <xf numFmtId="0" fontId="130" fillId="70" borderId="25" applyNumberFormat="0" applyBorder="0" applyAlignment="0">
      <alignment horizontal="center"/>
      <protection hidden="1"/>
    </xf>
    <xf numFmtId="263" fontId="7" fillId="0" borderId="0" applyFont="0" applyFill="0" applyBorder="0" applyAlignment="0" applyProtection="0"/>
    <xf numFmtId="0" fontId="24" fillId="93" borderId="0" applyNumberFormat="0" applyBorder="0" applyAlignment="0" applyProtection="0"/>
    <xf numFmtId="0" fontId="24" fillId="94" borderId="0" applyNumberFormat="0" applyBorder="0" applyAlignment="0" applyProtection="0"/>
    <xf numFmtId="0" fontId="24" fillId="95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52" fillId="0" borderId="0" applyNumberFormat="0" applyAlignment="0">
      <alignment horizontal="left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7" fillId="0" borderId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/>
    <xf numFmtId="0" fontId="7" fillId="0" borderId="0"/>
    <xf numFmtId="0" fontId="58" fillId="0" borderId="23" applyBorder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44" fillId="0" borderId="23">
      <alignment horizontal="left" vertical="center"/>
    </xf>
    <xf numFmtId="0" fontId="7" fillId="0" borderId="46"/>
    <xf numFmtId="0" fontId="7" fillId="0" borderId="46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1" fillId="57" borderId="50">
      <alignment horizontal="left" vertical="center" wrapText="1"/>
    </xf>
    <xf numFmtId="346" fontId="253" fillId="0" borderId="0" applyFont="0" applyFill="0" applyBorder="0" applyAlignment="0" applyProtection="0"/>
    <xf numFmtId="349" fontId="253" fillId="0" borderId="0" applyFont="0" applyFill="0" applyBorder="0" applyAlignment="0" applyProtection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37" fillId="56" borderId="51" applyNumberFormat="0" applyFont="0" applyBorder="0" applyAlignment="0" applyProtection="0">
      <alignment vertical="top"/>
    </xf>
    <xf numFmtId="3" fontId="166" fillId="56" borderId="25">
      <alignment horizontal="center"/>
    </xf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35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58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82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" fillId="0" borderId="0"/>
    <xf numFmtId="0" fontId="7" fillId="0" borderId="0"/>
    <xf numFmtId="0" fontId="4" fillId="0" borderId="0"/>
    <xf numFmtId="189" fontId="7" fillId="0" borderId="0" applyFont="0" applyFill="0" applyBorder="0" applyAlignment="0" applyProtection="0"/>
    <xf numFmtId="0" fontId="7" fillId="0" borderId="0"/>
    <xf numFmtId="0" fontId="58" fillId="0" borderId="0">
      <alignment horizontal="center" vertical="center"/>
    </xf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0" fontId="247" fillId="0" borderId="66">
      <alignment horizontal="left" vertical="center" wrapText="1"/>
    </xf>
    <xf numFmtId="14" fontId="55" fillId="0" borderId="0">
      <alignment horizontal="center" wrapText="1"/>
      <protection locked="0"/>
    </xf>
    <xf numFmtId="29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8" fillId="0" borderId="0" applyFont="0" applyFill="0" applyBorder="0" applyAlignment="0" applyProtection="0"/>
    <xf numFmtId="9" fontId="25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0" fillId="0" borderId="0" applyFont="0" applyFill="0" applyBorder="0" applyAlignment="0" applyProtection="0"/>
    <xf numFmtId="9" fontId="240" fillId="0" borderId="0" applyFont="0" applyFill="0" applyBorder="0" applyAlignment="0" applyProtection="0"/>
    <xf numFmtId="10" fontId="72" fillId="0" borderId="0" applyFont="0" applyFill="0" applyBorder="0" applyAlignment="0" applyProtection="0"/>
    <xf numFmtId="304" fontId="7" fillId="0" borderId="21" applyFont="0" applyFill="0" applyBorder="0" applyAlignment="0" applyProtection="0"/>
    <xf numFmtId="225" fontId="7" fillId="0" borderId="21" applyFont="0" applyFill="0" applyBorder="0" applyAlignment="0" applyProtection="0"/>
    <xf numFmtId="10" fontId="160" fillId="0" borderId="37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60" fillId="0" borderId="37"/>
    <xf numFmtId="3" fontId="194" fillId="0" borderId="37"/>
    <xf numFmtId="189" fontId="7" fillId="77" borderId="0" applyFill="0" applyBorder="0" applyAlignment="0" applyProtection="0"/>
    <xf numFmtId="14" fontId="198" fillId="0" borderId="0" applyNumberFormat="0" applyFill="0" applyBorder="0" applyAlignment="0" applyProtection="0">
      <alignment horizontal="left"/>
    </xf>
    <xf numFmtId="0" fontId="247" fillId="0" borderId="65">
      <alignment horizontal="left" vertical="center" wrapText="1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4" fontId="92" fillId="69" borderId="67" applyNumberFormat="0" applyProtection="0">
      <alignment vertical="center"/>
    </xf>
    <xf numFmtId="4" fontId="74" fillId="69" borderId="67" applyNumberFormat="0" applyProtection="0">
      <alignment horizontal="left" vertical="center" indent="1"/>
    </xf>
    <xf numFmtId="4" fontId="74" fillId="70" borderId="0" applyNumberFormat="0" applyProtection="0">
      <alignment horizontal="left" vertical="center" indent="1"/>
    </xf>
    <xf numFmtId="4" fontId="74" fillId="81" borderId="67" applyNumberFormat="0" applyProtection="0">
      <alignment horizontal="right" vertical="center"/>
    </xf>
    <xf numFmtId="4" fontId="92" fillId="64" borderId="67" applyNumberFormat="0" applyProtection="0">
      <alignment horizontal="left" vertical="center" indent="1"/>
    </xf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56" fillId="0" borderId="0" applyNumberFormat="0" applyFill="0" applyBorder="0" applyAlignment="0" applyProtection="0"/>
    <xf numFmtId="0" fontId="246" fillId="0" borderId="0">
      <alignment horizontal="left" vertical="center" wrapText="1"/>
    </xf>
    <xf numFmtId="171" fontId="56" fillId="0" borderId="40"/>
    <xf numFmtId="0" fontId="56" fillId="0" borderId="40"/>
    <xf numFmtId="170" fontId="56" fillId="0" borderId="40"/>
    <xf numFmtId="0" fontId="72" fillId="0" borderId="0"/>
    <xf numFmtId="352" fontId="7" fillId="0" borderId="0">
      <alignment horizontal="center"/>
    </xf>
    <xf numFmtId="0" fontId="7" fillId="0" borderId="0"/>
    <xf numFmtId="312" fontId="7" fillId="0" borderId="0" applyFill="0" applyBorder="0" applyAlignment="0" applyProtection="0">
      <alignment wrapText="1"/>
    </xf>
    <xf numFmtId="40" fontId="257" fillId="0" borderId="0" applyBorder="0">
      <alignment horizontal="right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314" fontId="7" fillId="0" borderId="0" applyFill="0" applyBorder="0" applyAlignment="0"/>
    <xf numFmtId="315" fontId="7" fillId="0" borderId="0" applyFill="0" applyBorder="0" applyAlignment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5">
      <alignment horizontal="centerContinuous"/>
    </xf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7" fontId="220" fillId="0" borderId="51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20" fillId="0" borderId="51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68" fontId="7" fillId="0" borderId="0" applyFont="0" applyFill="0" applyBorder="0" applyAlignment="0" applyProtection="0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/>
    <xf numFmtId="0" fontId="7" fillId="96" borderId="68"/>
    <xf numFmtId="39" fontId="53" fillId="0" borderId="0"/>
    <xf numFmtId="4" fontId="234" fillId="0" borderId="37"/>
    <xf numFmtId="319" fontId="160" fillId="0" borderId="37"/>
    <xf numFmtId="4" fontId="194" fillId="0" borderId="37"/>
    <xf numFmtId="353" fontId="253" fillId="0" borderId="0" applyFont="0" applyFill="0" applyBorder="0" applyAlignment="0" applyProtection="0"/>
    <xf numFmtId="354" fontId="253" fillId="0" borderId="0" applyFont="0" applyFill="0" applyBorder="0" applyAlignment="0" applyProtection="0"/>
    <xf numFmtId="43" fontId="49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1" fontId="236" fillId="0" borderId="5">
      <alignment horizontal="center"/>
    </xf>
    <xf numFmtId="355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0" fontId="258" fillId="0" borderId="0"/>
    <xf numFmtId="9" fontId="174" fillId="0" borderId="0" applyFont="0" applyFill="0" applyBorder="0" applyAlignment="0" applyProtection="0"/>
    <xf numFmtId="0" fontId="48" fillId="0" borderId="0"/>
    <xf numFmtId="0" fontId="4" fillId="0" borderId="0"/>
    <xf numFmtId="0" fontId="4" fillId="0" borderId="0"/>
    <xf numFmtId="0" fontId="5" fillId="0" borderId="0"/>
    <xf numFmtId="0" fontId="4" fillId="0" borderId="0"/>
    <xf numFmtId="170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177" fontId="53" fillId="0" borderId="0"/>
    <xf numFmtId="177" fontId="53" fillId="0" borderId="0"/>
    <xf numFmtId="177" fontId="53" fillId="0" borderId="0"/>
    <xf numFmtId="0" fontId="1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" fillId="3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10" fillId="0" borderId="0"/>
    <xf numFmtId="0" fontId="110" fillId="0" borderId="0"/>
    <xf numFmtId="0" fontId="259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61">
    <xf numFmtId="0" fontId="0" fillId="0" borderId="0" xfId="0"/>
    <xf numFmtId="173" fontId="5" fillId="0" borderId="0" xfId="1" applyNumberFormat="1"/>
    <xf numFmtId="171" fontId="5" fillId="0" borderId="0" xfId="1" applyNumberFormat="1"/>
    <xf numFmtId="173" fontId="28" fillId="0" borderId="0" xfId="0" applyNumberFormat="1" applyFont="1"/>
    <xf numFmtId="171" fontId="28" fillId="0" borderId="0" xfId="0" applyNumberFormat="1" applyFont="1"/>
    <xf numFmtId="171" fontId="28" fillId="0" borderId="0" xfId="1" applyNumberFormat="1" applyFont="1"/>
    <xf numFmtId="0" fontId="30" fillId="0" borderId="0" xfId="0" applyFont="1"/>
    <xf numFmtId="171" fontId="30" fillId="0" borderId="0" xfId="1" applyNumberFormat="1" applyFont="1"/>
    <xf numFmtId="173" fontId="28" fillId="0" borderId="0" xfId="0" applyNumberFormat="1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1" fillId="0" borderId="0" xfId="0" applyFont="1"/>
    <xf numFmtId="0" fontId="28" fillId="0" borderId="0" xfId="0" applyFont="1" applyAlignment="1">
      <alignment horizontal="left" indent="3"/>
    </xf>
    <xf numFmtId="171" fontId="0" fillId="0" borderId="0" xfId="1" applyNumberFormat="1" applyFont="1"/>
    <xf numFmtId="171" fontId="6" fillId="0" borderId="0" xfId="1" applyNumberFormat="1" applyFont="1"/>
    <xf numFmtId="172" fontId="0" fillId="0" borderId="0" xfId="2" applyNumberFormat="1" applyFont="1"/>
    <xf numFmtId="171" fontId="0" fillId="0" borderId="0" xfId="0" applyNumberFormat="1"/>
    <xf numFmtId="0" fontId="28" fillId="0" borderId="0" xfId="0" applyFont="1"/>
    <xf numFmtId="173" fontId="0" fillId="0" borderId="0" xfId="1" applyNumberFormat="1" applyFont="1"/>
    <xf numFmtId="171" fontId="30" fillId="0" borderId="0" xfId="0" applyNumberFormat="1" applyFont="1"/>
    <xf numFmtId="0" fontId="6" fillId="0" borderId="0" xfId="0" applyFont="1"/>
    <xf numFmtId="0" fontId="260" fillId="0" borderId="0" xfId="0" applyFont="1"/>
    <xf numFmtId="0" fontId="28" fillId="0" borderId="0" xfId="0" applyFont="1" applyAlignment="1">
      <alignment horizontal="left"/>
    </xf>
    <xf numFmtId="9" fontId="28" fillId="0" borderId="0" xfId="1" applyNumberFormat="1" applyFont="1"/>
    <xf numFmtId="173" fontId="50" fillId="0" borderId="0" xfId="1" applyNumberFormat="1" applyFont="1"/>
    <xf numFmtId="171" fontId="50" fillId="0" borderId="0" xfId="0" applyNumberFormat="1" applyFont="1"/>
    <xf numFmtId="171" fontId="50" fillId="0" borderId="0" xfId="1" applyNumberFormat="1" applyFont="1"/>
    <xf numFmtId="174" fontId="30" fillId="0" borderId="0" xfId="1" applyNumberFormat="1" applyFont="1"/>
    <xf numFmtId="9" fontId="28" fillId="0" borderId="0" xfId="2" applyFont="1"/>
    <xf numFmtId="173" fontId="0" fillId="97" borderId="0" xfId="1" applyNumberFormat="1" applyFont="1" applyFill="1"/>
    <xf numFmtId="0" fontId="30" fillId="97" borderId="0" xfId="0" applyFont="1" applyFill="1"/>
    <xf numFmtId="0" fontId="28" fillId="97" borderId="0" xfId="0" applyFont="1" applyFill="1"/>
    <xf numFmtId="0" fontId="0" fillId="97" borderId="0" xfId="0" applyFill="1"/>
    <xf numFmtId="3" fontId="0" fillId="97" borderId="0" xfId="2" applyNumberFormat="1" applyFont="1" applyFill="1"/>
    <xf numFmtId="3" fontId="6" fillId="97" borderId="0" xfId="2" applyNumberFormat="1" applyFont="1" applyFill="1"/>
    <xf numFmtId="43" fontId="28" fillId="0" borderId="0" xfId="1" applyFont="1" applyAlignment="1">
      <alignment horizontal="right" vertical="center"/>
    </xf>
    <xf numFmtId="0" fontId="0" fillId="0" borderId="0" xfId="0" applyFill="1"/>
    <xf numFmtId="173" fontId="0" fillId="0" borderId="0" xfId="1" applyNumberFormat="1" applyFont="1" applyFill="1"/>
    <xf numFmtId="171" fontId="5" fillId="0" borderId="0" xfId="1" applyNumberFormat="1" applyFill="1"/>
    <xf numFmtId="171" fontId="0" fillId="0" borderId="0" xfId="1" applyNumberFormat="1" applyFont="1" applyFill="1"/>
    <xf numFmtId="171" fontId="0" fillId="0" borderId="0" xfId="0" applyNumberFormat="1" applyFill="1"/>
    <xf numFmtId="173" fontId="0" fillId="0" borderId="0" xfId="6106" applyNumberFormat="1" applyFont="1" applyFill="1"/>
    <xf numFmtId="0" fontId="28" fillId="0" borderId="0" xfId="0" applyFont="1" applyFill="1" applyAlignment="1">
      <alignment horizontal="left" indent="3"/>
    </xf>
    <xf numFmtId="0" fontId="28" fillId="0" borderId="0" xfId="0" applyFont="1" applyFill="1"/>
    <xf numFmtId="173" fontId="6" fillId="0" borderId="0" xfId="1" applyNumberFormat="1" applyFont="1" applyFill="1"/>
    <xf numFmtId="173" fontId="0" fillId="0" borderId="0" xfId="1" applyNumberFormat="1" applyFont="1" applyFill="1" applyBorder="1"/>
    <xf numFmtId="173" fontId="0" fillId="0" borderId="0" xfId="1" applyNumberFormat="1" applyFont="1" applyFill="1" applyAlignment="1">
      <alignment horizontal="center"/>
    </xf>
    <xf numFmtId="173" fontId="0" fillId="0" borderId="0" xfId="6106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right"/>
    </xf>
    <xf numFmtId="172" fontId="0" fillId="0" borderId="0" xfId="2" applyNumberFormat="1" applyFont="1" applyFill="1"/>
    <xf numFmtId="171" fontId="0" fillId="0" borderId="0" xfId="1" applyNumberFormat="1" applyFont="1" applyFill="1" applyAlignment="1">
      <alignment horizontal="center"/>
    </xf>
    <xf numFmtId="43" fontId="28" fillId="0" borderId="0" xfId="1" applyFont="1" applyFill="1" applyAlignment="1">
      <alignment horizontal="right" vertical="center"/>
    </xf>
    <xf numFmtId="173" fontId="5" fillId="0" borderId="0" xfId="1" applyNumberFormat="1" applyFill="1"/>
    <xf numFmtId="0" fontId="6" fillId="0" borderId="0" xfId="0" applyFont="1" applyFill="1"/>
    <xf numFmtId="3" fontId="263" fillId="0" borderId="0" xfId="0" applyNumberFormat="1" applyFont="1" applyAlignment="1">
      <alignment horizontal="right" vertical="center" wrapText="1"/>
    </xf>
    <xf numFmtId="0" fontId="0" fillId="0" borderId="0" xfId="0" applyFill="1" applyBorder="1"/>
    <xf numFmtId="3" fontId="263" fillId="0" borderId="0" xfId="0" applyNumberFormat="1" applyFont="1" applyBorder="1" applyAlignment="1">
      <alignment horizontal="right" vertical="center" wrapText="1"/>
    </xf>
    <xf numFmtId="3" fontId="264" fillId="0" borderId="0" xfId="0" applyNumberFormat="1" applyFont="1" applyBorder="1" applyAlignment="1">
      <alignment horizontal="right" vertical="center" wrapText="1"/>
    </xf>
    <xf numFmtId="0" fontId="0" fillId="0" borderId="0" xfId="0" applyFill="1" applyAlignment="1"/>
    <xf numFmtId="171" fontId="5" fillId="0" borderId="0" xfId="1" applyNumberFormat="1" applyFont="1"/>
    <xf numFmtId="3" fontId="0" fillId="0" borderId="0" xfId="0" applyNumberFormat="1" applyFill="1"/>
    <xf numFmtId="176" fontId="0" fillId="0" borderId="0" xfId="0" applyNumberFormat="1" applyFill="1"/>
    <xf numFmtId="173" fontId="0" fillId="0" borderId="0" xfId="0" applyNumberFormat="1" applyFill="1"/>
    <xf numFmtId="9" fontId="0" fillId="0" borderId="0" xfId="2" applyFont="1" applyFill="1"/>
    <xf numFmtId="3" fontId="0" fillId="0" borderId="0" xfId="0" applyNumberFormat="1"/>
    <xf numFmtId="173" fontId="0" fillId="97" borderId="0" xfId="6106" applyNumberFormat="1" applyFont="1" applyFill="1" applyAlignment="1">
      <alignment horizontal="center"/>
    </xf>
    <xf numFmtId="173" fontId="0" fillId="97" borderId="0" xfId="1" applyNumberFormat="1" applyFont="1" applyFill="1" applyAlignment="1">
      <alignment horizontal="center"/>
    </xf>
    <xf numFmtId="171" fontId="0" fillId="97" borderId="0" xfId="1" applyNumberFormat="1" applyFont="1" applyFill="1"/>
    <xf numFmtId="173" fontId="0" fillId="0" borderId="0" xfId="0" applyNumberFormat="1"/>
    <xf numFmtId="173" fontId="6" fillId="97" borderId="0" xfId="1" applyNumberFormat="1" applyFont="1" applyFill="1"/>
    <xf numFmtId="173" fontId="263" fillId="0" borderId="0" xfId="0" applyNumberFormat="1" applyFont="1" applyAlignment="1">
      <alignment horizontal="right" vertical="center" wrapText="1"/>
    </xf>
    <xf numFmtId="173" fontId="0" fillId="0" borderId="0" xfId="1" applyNumberFormat="1" applyFont="1" applyAlignment="1">
      <alignment horizontal="right"/>
    </xf>
    <xf numFmtId="3" fontId="6" fillId="0" borderId="0" xfId="2" applyNumberFormat="1" applyFont="1" applyFill="1"/>
    <xf numFmtId="0" fontId="29" fillId="98" borderId="11" xfId="0" applyFont="1" applyFill="1" applyBorder="1"/>
    <xf numFmtId="0" fontId="29" fillId="98" borderId="11" xfId="0" applyFont="1" applyFill="1" applyBorder="1" applyAlignment="1">
      <alignment horizontal="center"/>
    </xf>
    <xf numFmtId="0" fontId="29" fillId="98" borderId="70" xfId="0" applyFont="1" applyFill="1" applyBorder="1" applyAlignment="1">
      <alignment horizontal="center"/>
    </xf>
    <xf numFmtId="0" fontId="29" fillId="98" borderId="69" xfId="0" applyFont="1" applyFill="1" applyBorder="1" applyAlignment="1">
      <alignment horizontal="center"/>
    </xf>
    <xf numFmtId="0" fontId="30" fillId="99" borderId="0" xfId="0" applyFont="1" applyFill="1"/>
    <xf numFmtId="171" fontId="261" fillId="99" borderId="0" xfId="0" applyNumberFormat="1" applyFont="1" applyFill="1"/>
    <xf numFmtId="171" fontId="262" fillId="99" borderId="0" xfId="0" applyNumberFormat="1" applyFont="1" applyFill="1"/>
    <xf numFmtId="172" fontId="30" fillId="0" borderId="0" xfId="2" applyNumberFormat="1" applyFont="1"/>
    <xf numFmtId="3" fontId="5" fillId="0" borderId="0" xfId="2" applyNumberFormat="1" applyFont="1"/>
    <xf numFmtId="172" fontId="5" fillId="0" borderId="0" xfId="2" applyNumberFormat="1" applyFont="1"/>
    <xf numFmtId="0" fontId="265" fillId="0" borderId="0" xfId="0" applyFont="1"/>
    <xf numFmtId="0" fontId="31" fillId="0" borderId="0" xfId="0" applyFont="1" applyAlignment="1">
      <alignment horizontal="left" indent="1"/>
    </xf>
    <xf numFmtId="9" fontId="5" fillId="97" borderId="0" xfId="2" applyFont="1" applyFill="1"/>
    <xf numFmtId="9" fontId="5" fillId="0" borderId="0" xfId="2" applyFont="1" applyFill="1"/>
    <xf numFmtId="176" fontId="30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 indent="1"/>
    </xf>
    <xf numFmtId="171" fontId="5" fillId="97" borderId="0" xfId="1" applyNumberFormat="1" applyFont="1" applyFill="1"/>
    <xf numFmtId="172" fontId="6" fillId="0" borderId="0" xfId="2" applyNumberFormat="1" applyFont="1"/>
    <xf numFmtId="176" fontId="6" fillId="97" borderId="0" xfId="2" applyNumberFormat="1" applyFont="1" applyFill="1"/>
    <xf numFmtId="170" fontId="28" fillId="0" borderId="0" xfId="0" applyNumberFormat="1" applyFont="1"/>
    <xf numFmtId="171" fontId="5" fillId="0" borderId="0" xfId="1" quotePrefix="1" applyNumberFormat="1" applyFont="1"/>
    <xf numFmtId="173" fontId="5" fillId="0" borderId="0" xfId="1" applyNumberFormat="1" applyFont="1"/>
    <xf numFmtId="9" fontId="28" fillId="0" borderId="0" xfId="2" applyNumberFormat="1" applyFont="1"/>
    <xf numFmtId="0" fontId="268" fillId="0" borderId="0" xfId="0" applyFont="1"/>
    <xf numFmtId="0" fontId="269" fillId="0" borderId="0" xfId="0" applyFont="1" applyFill="1"/>
    <xf numFmtId="0" fontId="269" fillId="0" borderId="0" xfId="0" applyFont="1"/>
    <xf numFmtId="0" fontId="270" fillId="98" borderId="11" xfId="0" applyFont="1" applyFill="1" applyBorder="1"/>
    <xf numFmtId="0" fontId="271" fillId="0" borderId="0" xfId="0" applyFont="1"/>
    <xf numFmtId="9" fontId="268" fillId="0" borderId="0" xfId="2" applyFont="1"/>
    <xf numFmtId="0" fontId="269" fillId="97" borderId="0" xfId="0" applyFont="1" applyFill="1"/>
    <xf numFmtId="171" fontId="268" fillId="0" borderId="0" xfId="0" applyNumberFormat="1" applyFont="1"/>
    <xf numFmtId="173" fontId="269" fillId="0" borderId="0" xfId="1" applyNumberFormat="1" applyFont="1"/>
    <xf numFmtId="0" fontId="272" fillId="0" borderId="0" xfId="0" applyFont="1"/>
    <xf numFmtId="43" fontId="269" fillId="0" borderId="0" xfId="1" applyNumberFormat="1" applyFont="1"/>
    <xf numFmtId="171" fontId="269" fillId="0" borderId="0" xfId="0" applyNumberFormat="1" applyFont="1"/>
    <xf numFmtId="0" fontId="29" fillId="100" borderId="11" xfId="0" applyFont="1" applyFill="1" applyBorder="1" applyAlignment="1">
      <alignment horizontal="center"/>
    </xf>
    <xf numFmtId="4" fontId="268" fillId="0" borderId="0" xfId="2" applyNumberFormat="1" applyFont="1"/>
    <xf numFmtId="4" fontId="268" fillId="0" borderId="0" xfId="0" applyNumberFormat="1" applyFont="1"/>
    <xf numFmtId="0" fontId="269" fillId="0" borderId="0" xfId="0" applyFont="1" applyBorder="1"/>
    <xf numFmtId="43" fontId="268" fillId="0" borderId="0" xfId="1" applyFont="1"/>
    <xf numFmtId="3" fontId="268" fillId="0" borderId="0" xfId="0" applyNumberFormat="1" applyFont="1"/>
    <xf numFmtId="3" fontId="273" fillId="0" borderId="0" xfId="2" applyNumberFormat="1" applyFont="1"/>
    <xf numFmtId="172" fontId="273" fillId="0" borderId="0" xfId="2" applyNumberFormat="1" applyFont="1"/>
    <xf numFmtId="171" fontId="273" fillId="0" borderId="0" xfId="1" applyNumberFormat="1" applyFont="1" applyFill="1"/>
    <xf numFmtId="3" fontId="274" fillId="97" borderId="0" xfId="2" applyNumberFormat="1" applyFont="1" applyFill="1"/>
    <xf numFmtId="172" fontId="274" fillId="0" borderId="0" xfId="2" applyNumberFormat="1" applyFont="1"/>
    <xf numFmtId="43" fontId="273" fillId="0" borderId="0" xfId="1" applyFont="1" applyFill="1"/>
    <xf numFmtId="3" fontId="273" fillId="0" borderId="0" xfId="2" applyNumberFormat="1" applyFont="1" applyFill="1"/>
    <xf numFmtId="171" fontId="273" fillId="0" borderId="0" xfId="1" applyNumberFormat="1" applyFont="1"/>
    <xf numFmtId="173" fontId="274" fillId="97" borderId="0" xfId="1" applyNumberFormat="1" applyFont="1" applyFill="1"/>
    <xf numFmtId="173" fontId="274" fillId="0" borderId="0" xfId="1" applyNumberFormat="1" applyFont="1" applyFill="1"/>
    <xf numFmtId="171" fontId="274" fillId="0" borderId="0" xfId="1" applyNumberFormat="1" applyFont="1"/>
    <xf numFmtId="171" fontId="274" fillId="0" borderId="0" xfId="1" applyNumberFormat="1" applyFont="1" applyFill="1"/>
    <xf numFmtId="0" fontId="273" fillId="0" borderId="0" xfId="0" applyFont="1"/>
    <xf numFmtId="171" fontId="275" fillId="0" borderId="0" xfId="1" applyNumberFormat="1" applyFont="1"/>
    <xf numFmtId="0" fontId="274" fillId="99" borderId="0" xfId="0" applyFont="1" applyFill="1"/>
    <xf numFmtId="171" fontId="273" fillId="99" borderId="0" xfId="0" applyNumberFormat="1" applyFont="1" applyFill="1"/>
    <xf numFmtId="0" fontId="273" fillId="97" borderId="0" xfId="0" applyFont="1" applyFill="1"/>
    <xf numFmtId="0" fontId="276" fillId="0" borderId="0" xfId="0" applyFont="1"/>
    <xf numFmtId="0" fontId="274" fillId="0" borderId="0" xfId="0" applyFont="1"/>
    <xf numFmtId="0" fontId="274" fillId="97" borderId="0" xfId="0" applyFont="1" applyFill="1"/>
    <xf numFmtId="0" fontId="277" fillId="0" borderId="0" xfId="0" applyFont="1"/>
    <xf numFmtId="0" fontId="273" fillId="0" borderId="0" xfId="0" applyFont="1" applyAlignment="1">
      <alignment horizontal="left" indent="1"/>
    </xf>
    <xf numFmtId="0" fontId="276" fillId="0" borderId="0" xfId="0" applyFont="1" applyAlignment="1">
      <alignment horizontal="left" indent="1"/>
    </xf>
    <xf numFmtId="171" fontId="273" fillId="0" borderId="0" xfId="0" applyNumberFormat="1" applyFont="1"/>
    <xf numFmtId="0" fontId="273" fillId="0" borderId="0" xfId="0" applyFont="1" applyFill="1" applyAlignment="1">
      <alignment horizontal="left" indent="1"/>
    </xf>
    <xf numFmtId="0" fontId="274" fillId="0" borderId="0" xfId="0" applyFont="1" applyFill="1"/>
    <xf numFmtId="0" fontId="273" fillId="0" borderId="0" xfId="0" applyFont="1" applyFill="1" applyAlignment="1">
      <alignment horizontal="left"/>
    </xf>
    <xf numFmtId="0" fontId="273" fillId="0" borderId="0" xfId="0" applyFont="1" applyFill="1"/>
    <xf numFmtId="0" fontId="274" fillId="0" borderId="0" xfId="0" applyFont="1" applyAlignment="1">
      <alignment horizontal="left"/>
    </xf>
    <xf numFmtId="171" fontId="273" fillId="0" borderId="0" xfId="1" applyNumberFormat="1" applyFont="1" applyBorder="1"/>
    <xf numFmtId="171" fontId="278" fillId="0" borderId="0" xfId="1" applyNumberFormat="1" applyFont="1"/>
    <xf numFmtId="171" fontId="273" fillId="0" borderId="0" xfId="1" applyNumberFormat="1" applyFont="1" applyAlignment="1">
      <alignment horizontal="right"/>
    </xf>
    <xf numFmtId="171" fontId="273" fillId="0" borderId="0" xfId="0" applyNumberFormat="1" applyFont="1" applyBorder="1"/>
    <xf numFmtId="171" fontId="274" fillId="0" borderId="0" xfId="0" applyNumberFormat="1" applyFont="1"/>
    <xf numFmtId="170" fontId="274" fillId="0" borderId="0" xfId="0" applyNumberFormat="1" applyFont="1"/>
    <xf numFmtId="171" fontId="274" fillId="0" borderId="0" xfId="0" applyNumberFormat="1" applyFont="1" applyFill="1"/>
    <xf numFmtId="0" fontId="274" fillId="98" borderId="11" xfId="0" applyFont="1" applyFill="1" applyBorder="1"/>
    <xf numFmtId="0" fontId="279" fillId="98" borderId="11" xfId="0" applyFont="1" applyFill="1" applyBorder="1"/>
    <xf numFmtId="0" fontId="279" fillId="98" borderId="11" xfId="0" applyFont="1" applyFill="1" applyBorder="1" applyAlignment="1">
      <alignment horizontal="center"/>
    </xf>
    <xf numFmtId="0" fontId="279" fillId="100" borderId="11" xfId="0" applyFont="1" applyFill="1" applyBorder="1" applyAlignment="1">
      <alignment horizontal="center"/>
    </xf>
    <xf numFmtId="0" fontId="273" fillId="0" borderId="0" xfId="0" applyFont="1" applyAlignment="1">
      <alignment horizontal="left"/>
    </xf>
    <xf numFmtId="174" fontId="273" fillId="0" borderId="0" xfId="0" applyNumberFormat="1" applyFont="1"/>
    <xf numFmtId="0" fontId="273" fillId="0" borderId="0" xfId="0" applyFont="1" applyAlignment="1">
      <alignment horizontal="left" indent="3"/>
    </xf>
    <xf numFmtId="0" fontId="273" fillId="0" borderId="0" xfId="0" applyFont="1" applyBorder="1" applyAlignment="1">
      <alignment horizontal="left" indent="3"/>
    </xf>
    <xf numFmtId="0" fontId="274" fillId="0" borderId="0" xfId="0" applyFont="1" applyAlignment="1">
      <alignment horizontal="left" indent="1"/>
    </xf>
    <xf numFmtId="174" fontId="274" fillId="0" borderId="0" xfId="0" applyNumberFormat="1" applyFont="1"/>
    <xf numFmtId="173" fontId="273" fillId="0" borderId="0" xfId="1" applyNumberFormat="1" applyFont="1" applyFill="1"/>
  </cellXfs>
  <cellStyles count="9726">
    <cellStyle name="-" xfId="74" xr:uid="{00000000-0005-0000-0000-000000000000}"/>
    <cellStyle name="#,##-" xfId="75" xr:uid="{00000000-0005-0000-0000-000001000000}"/>
    <cellStyle name="#,##0" xfId="76" xr:uid="{00000000-0005-0000-0000-000002000000}"/>
    <cellStyle name="#,##0%" xfId="77" xr:uid="{00000000-0005-0000-0000-000003000000}"/>
    <cellStyle name="#,##0.0%" xfId="78" xr:uid="{00000000-0005-0000-0000-000004000000}"/>
    <cellStyle name="#,##0_),(#,##0)" xfId="79" xr:uid="{00000000-0005-0000-0000-000005000000}"/>
    <cellStyle name="$" xfId="80" xr:uid="{00000000-0005-0000-0000-000006000000}"/>
    <cellStyle name="$ 0 decimal" xfId="81" xr:uid="{00000000-0005-0000-0000-000007000000}"/>
    <cellStyle name="$ 2 decimals" xfId="82" xr:uid="{00000000-0005-0000-0000-000008000000}"/>
    <cellStyle name="$0" xfId="83" xr:uid="{00000000-0005-0000-0000-000009000000}"/>
    <cellStyle name="$1" xfId="84" xr:uid="{00000000-0005-0000-0000-00000A000000}"/>
    <cellStyle name="$2" xfId="85" xr:uid="{00000000-0005-0000-0000-00000B000000}"/>
    <cellStyle name="%0" xfId="86" xr:uid="{00000000-0005-0000-0000-00000C000000}"/>
    <cellStyle name="%1" xfId="87" xr:uid="{00000000-0005-0000-0000-00000D000000}"/>
    <cellStyle name="%12" xfId="88" xr:uid="{00000000-0005-0000-0000-00000E000000}"/>
    <cellStyle name="%2" xfId="89" xr:uid="{00000000-0005-0000-0000-00000F000000}"/>
    <cellStyle name="%b1" xfId="90" xr:uid="{00000000-0005-0000-0000-000010000000}"/>
    <cellStyle name="(0%) &quot; - &quot;" xfId="91" xr:uid="{00000000-0005-0000-0000-000011000000}"/>
    <cellStyle name="(0%) &quot; - &quot;per" xfId="92" xr:uid="{00000000-0005-0000-0000-000012000000}"/>
    <cellStyle name="(0,000) &quot; - &quot;" xfId="93" xr:uid="{00000000-0005-0000-0000-000013000000}"/>
    <cellStyle name="(0,000) &quot; - &quot;num" xfId="94" xr:uid="{00000000-0005-0000-0000-000014000000}"/>
    <cellStyle name="(0.0%)" xfId="95" xr:uid="{00000000-0005-0000-0000-000015000000}"/>
    <cellStyle name="******************************************" xfId="96" xr:uid="{00000000-0005-0000-0000-000016000000}"/>
    <cellStyle name="?? [0.00]_laroux" xfId="97" xr:uid="{00000000-0005-0000-0000-000017000000}"/>
    <cellStyle name="?? [0]_VERA" xfId="98" xr:uid="{00000000-0005-0000-0000-000018000000}"/>
    <cellStyle name="???? [0.00]_laroux" xfId="99" xr:uid="{00000000-0005-0000-0000-000019000000}"/>
    <cellStyle name="?????_VERA" xfId="100" xr:uid="{00000000-0005-0000-0000-00001A000000}"/>
    <cellStyle name="????_laroux" xfId="101" xr:uid="{00000000-0005-0000-0000-00001B000000}"/>
    <cellStyle name="??_??" xfId="102" xr:uid="{00000000-0005-0000-0000-00001C000000}"/>
    <cellStyle name="_%(SignOnly)" xfId="103" xr:uid="{00000000-0005-0000-0000-00001D000000}"/>
    <cellStyle name="_%(SignOnly) 2" xfId="104" xr:uid="{00000000-0005-0000-0000-00001E000000}"/>
    <cellStyle name="_%(SignSpaceOnly)" xfId="105" xr:uid="{00000000-0005-0000-0000-00001F000000}"/>
    <cellStyle name="_%(SignSpaceOnly) 2" xfId="106" xr:uid="{00000000-0005-0000-0000-000020000000}"/>
    <cellStyle name="_~3097260" xfId="107" xr:uid="{00000000-0005-0000-0000-000021000000}"/>
    <cellStyle name="_~3097260 2" xfId="6291" xr:uid="{00000000-0005-0000-0000-000022000000}"/>
    <cellStyle name="-_30.06.09 - Análise de contas IFRS" xfId="9395" xr:uid="{00000000-0005-0000-0000-000023000000}"/>
    <cellStyle name="_Apresentação Painel de Caixa abril 2007 FORECAST (Desafio)" xfId="108" xr:uid="{00000000-0005-0000-0000-000024000000}"/>
    <cellStyle name="_Apresentação Painel de Caixa dezembro_2006" xfId="109" xr:uid="{00000000-0005-0000-0000-000025000000}"/>
    <cellStyle name="_Apresentação Painel de Caixa dezembro_Acionista 506_  2007" xfId="110" xr:uid="{00000000-0005-0000-0000-000026000000}"/>
    <cellStyle name="_Apresentação Painel de Caixa Março  2007" xfId="111" xr:uid="{00000000-0005-0000-0000-000027000000}"/>
    <cellStyle name="-_Base Apresentação" xfId="6292" xr:uid="{00000000-0005-0000-0000-000028000000}"/>
    <cellStyle name="-_Base Apresentação 2" xfId="9396" xr:uid="{00000000-0005-0000-0000-000029000000}"/>
    <cellStyle name="-_Base Apresentação_Base ITR Set-10 - Ajustes Resmat" xfId="6293" xr:uid="{00000000-0005-0000-0000-00002A000000}"/>
    <cellStyle name="_Book Gerencial Reg VIVAX Set07" xfId="112" xr:uid="{00000000-0005-0000-0000-00002B000000}"/>
    <cellStyle name="_Capex" xfId="113" xr:uid="{00000000-0005-0000-0000-00002C000000}"/>
    <cellStyle name="_Comma" xfId="114" xr:uid="{00000000-0005-0000-0000-00002D000000}"/>
    <cellStyle name="_Comma 2" xfId="115" xr:uid="{00000000-0005-0000-0000-00002E000000}"/>
    <cellStyle name="_Comma_Book1" xfId="116" xr:uid="{00000000-0005-0000-0000-00002F000000}"/>
    <cellStyle name="_Comma_Book1 2" xfId="6294" xr:uid="{00000000-0005-0000-0000-000030000000}"/>
    <cellStyle name="-_Comparativo VP FIN v1_So 2008" xfId="6295" xr:uid="{00000000-0005-0000-0000-000031000000}"/>
    <cellStyle name="-_Comparativo VP MKT 2008 v1_So 2008" xfId="6296" xr:uid="{00000000-0005-0000-0000-000032000000}"/>
    <cellStyle name="-_Comparativo VP TEC 2008 v1_So 2008" xfId="6297" xr:uid="{00000000-0005-0000-0000-000033000000}"/>
    <cellStyle name="-_Comparativo VP TEC 2008_Luiz Sergio" xfId="6298" xr:uid="{00000000-0005-0000-0000-000034000000}"/>
    <cellStyle name="-_Cópia de Análise de contas IFRS 2009" xfId="9397" xr:uid="{00000000-0005-0000-0000-000035000000}"/>
    <cellStyle name="-_Cópia de Modelo - Fluxo de Caixa Orcamento 09052009_V36_3" xfId="117" xr:uid="{00000000-0005-0000-0000-000036000000}"/>
    <cellStyle name="_Currency" xfId="118" xr:uid="{00000000-0005-0000-0000-000037000000}"/>
    <cellStyle name="_Currency 2" xfId="119" xr:uid="{00000000-0005-0000-0000-000038000000}"/>
    <cellStyle name="_Currency_Book1" xfId="120" xr:uid="{00000000-0005-0000-0000-000039000000}"/>
    <cellStyle name="_Currency_Book1 2" xfId="6299" xr:uid="{00000000-0005-0000-0000-00003A000000}"/>
    <cellStyle name="_Currency_Book1_Cópia de Modelo - Fluxo de Caixa Orcamento 09052009_V36_3" xfId="121" xr:uid="{00000000-0005-0000-0000-00003B000000}"/>
    <cellStyle name="_Currency_Book1_Cópia de Modelo - Fluxo de Caixa Orcamento 09052009_V36_3 2" xfId="6300" xr:uid="{00000000-0005-0000-0000-00003C000000}"/>
    <cellStyle name="_Currency_Book1_Cópia de Modelo - Fluxo de Caixa Orcamento 09052009_V36_3_Apresentação 230609" xfId="122" xr:uid="{00000000-0005-0000-0000-00003D000000}"/>
    <cellStyle name="_Currency_Book1_Cópia de Modelo - Fluxo de Caixa Orcamento 09052009_V36_3_Apresentação 230609 2" xfId="6301" xr:uid="{00000000-0005-0000-0000-00003E000000}"/>
    <cellStyle name="_Currency_Book1_Cópia de Modelo - Fluxo de Caixa Orcamento 09052009_V36_3_Apresentação 230609_Fluxo de caixa 20100224" xfId="6302" xr:uid="{00000000-0005-0000-0000-00003F000000}"/>
    <cellStyle name="_Currency_Book1_Cópia de Modelo - Fluxo de Caixa Orcamento 09052009_V36_3_Apresentação 230609_Fluxo de caixa 20100224 2" xfId="6303" xr:uid="{00000000-0005-0000-0000-000040000000}"/>
    <cellStyle name="_Currency_Book1_Cópia de Modelo - Fluxo de Caixa Orcamento 09052009_V36_3_Apresentação 230609_Geração de Caixa Operacional 2010 (2)" xfId="6304" xr:uid="{00000000-0005-0000-0000-000041000000}"/>
    <cellStyle name="_Currency_Book1_Cópia de Modelo - Fluxo de Caixa Orcamento 09052009_V36_3_Apresentação 230609_Geração de Caixa Operacional 2010 (2) 2" xfId="6305" xr:uid="{00000000-0005-0000-0000-000042000000}"/>
    <cellStyle name="_Currency_Book1_Cópia de Modelo - Fluxo de Caixa Orcamento 09052009_V36_3_Apresentação 230609_Orçamento Caixa 2010 (após - 60 MM)_dolar_19032010" xfId="6306" xr:uid="{00000000-0005-0000-0000-000043000000}"/>
    <cellStyle name="_Currency_Book1_Cópia de Modelo - Fluxo de Caixa Orcamento 09052009_V36_3_Apresentação 230609_Orçamento Caixa 2010 (após - 60 MM)_dolar_19032010 2" xfId="6307" xr:uid="{00000000-0005-0000-0000-000044000000}"/>
    <cellStyle name="_Currency_Book1_Fluxo de caixa 20100224" xfId="6308" xr:uid="{00000000-0005-0000-0000-000045000000}"/>
    <cellStyle name="_Currency_Book1_Fluxo de caixa 20100224 2" xfId="6309" xr:uid="{00000000-0005-0000-0000-000046000000}"/>
    <cellStyle name="_Currency_Book1_Fluxo de Caixa Orcamento FINAL_13052009" xfId="123" xr:uid="{00000000-0005-0000-0000-000047000000}"/>
    <cellStyle name="_Currency_Book1_Fluxo de Caixa Orcamento FINAL_13052009 2" xfId="6310" xr:uid="{00000000-0005-0000-0000-000048000000}"/>
    <cellStyle name="_Currency_Book1_Geração de Caixa Operacional 2010 (2)" xfId="6311" xr:uid="{00000000-0005-0000-0000-000049000000}"/>
    <cellStyle name="_Currency_Book1_Geração de Caixa Operacional 2010 (2) 2" xfId="6312" xr:uid="{00000000-0005-0000-0000-00004A000000}"/>
    <cellStyle name="_Currency_Book1_GOL Financial Model" xfId="124" xr:uid="{00000000-0005-0000-0000-00004B000000}"/>
    <cellStyle name="_Currency_Book1_GOL Financial Model 2" xfId="6313" xr:uid="{00000000-0005-0000-0000-00004C000000}"/>
    <cellStyle name="_Currency_Book1_GOL Financial Model ORC2007 v16" xfId="125" xr:uid="{00000000-0005-0000-0000-00004D000000}"/>
    <cellStyle name="_Currency_Book1_GOL Financial Model ORC2007 v16 2" xfId="6314" xr:uid="{00000000-0005-0000-0000-00004E000000}"/>
    <cellStyle name="_Currency_Book1_GOL Financial Model ORC2007 v16_Apresentação 230609" xfId="126" xr:uid="{00000000-0005-0000-0000-00004F000000}"/>
    <cellStyle name="_Currency_Book1_GOL Financial Model ORC2007 v16_Apresentação 230609 2" xfId="6315" xr:uid="{00000000-0005-0000-0000-000050000000}"/>
    <cellStyle name="_Currency_Book1_GOL Financial Model ORC2007 v16_Apresentação 230609_Fluxo de caixa 20100224" xfId="6316" xr:uid="{00000000-0005-0000-0000-000051000000}"/>
    <cellStyle name="_Currency_Book1_GOL Financial Model ORC2007 v16_Apresentação 230609_Fluxo de caixa 20100224 2" xfId="6317" xr:uid="{00000000-0005-0000-0000-000052000000}"/>
    <cellStyle name="_Currency_Book1_GOL Financial Model ORC2007 v16_Apresentação 230609_Geração de Caixa Operacional 2010 (2)" xfId="6318" xr:uid="{00000000-0005-0000-0000-000053000000}"/>
    <cellStyle name="_Currency_Book1_GOL Financial Model ORC2007 v16_Apresentação 230609_Geração de Caixa Operacional 2010 (2) 2" xfId="6319" xr:uid="{00000000-0005-0000-0000-000054000000}"/>
    <cellStyle name="_Currency_Book1_GOL Financial Model ORC2007 v16_Apresentação 230609_Orçamento Caixa 2010 (após - 60 MM)_dolar_19032010" xfId="6320" xr:uid="{00000000-0005-0000-0000-000055000000}"/>
    <cellStyle name="_Currency_Book1_GOL Financial Model ORC2007 v16_Apresentação 230609_Orçamento Caixa 2010 (após - 60 MM)_dolar_19032010 2" xfId="6321" xr:uid="{00000000-0005-0000-0000-000056000000}"/>
    <cellStyle name="_Currency_Book1_GOL Financial Model ORC2007 v16_Fluxo de Caixa Orcamento FINAL_13052009" xfId="127" xr:uid="{00000000-0005-0000-0000-000057000000}"/>
    <cellStyle name="_Currency_Book1_GOL Financial Model ORC2007 v16_Fluxo de Caixa Orcamento FINAL_13052009 2" xfId="6322" xr:uid="{00000000-0005-0000-0000-000058000000}"/>
    <cellStyle name="_Currency_Book1_GOL Financial Model_Apresentação 230609" xfId="128" xr:uid="{00000000-0005-0000-0000-000059000000}"/>
    <cellStyle name="_Currency_Book1_GOL Financial Model_Apresentação 230609 2" xfId="6323" xr:uid="{00000000-0005-0000-0000-00005A000000}"/>
    <cellStyle name="_Currency_Book1_GOL Financial Model_Apresentação 230609_Fluxo de caixa 20100224" xfId="6324" xr:uid="{00000000-0005-0000-0000-00005B000000}"/>
    <cellStyle name="_Currency_Book1_GOL Financial Model_Apresentação 230609_Fluxo de caixa 20100224 2" xfId="6325" xr:uid="{00000000-0005-0000-0000-00005C000000}"/>
    <cellStyle name="_Currency_Book1_GOL Financial Model_Apresentação 230609_Geração de Caixa Operacional 2010 (2)" xfId="6326" xr:uid="{00000000-0005-0000-0000-00005D000000}"/>
    <cellStyle name="_Currency_Book1_GOL Financial Model_Apresentação 230609_Geração de Caixa Operacional 2010 (2) 2" xfId="6327" xr:uid="{00000000-0005-0000-0000-00005E000000}"/>
    <cellStyle name="_Currency_Book1_GOL Financial Model_Apresentação 230609_Orçamento Caixa 2010 (após - 60 MM)_dolar_19032010" xfId="6328" xr:uid="{00000000-0005-0000-0000-00005F000000}"/>
    <cellStyle name="_Currency_Book1_GOL Financial Model_Apresentação 230609_Orçamento Caixa 2010 (após - 60 MM)_dolar_19032010 2" xfId="6329" xr:uid="{00000000-0005-0000-0000-000060000000}"/>
    <cellStyle name="_Currency_Book1_GOL Financial Model_Fluxo de Caixa Orcamento FINAL_13052009" xfId="129" xr:uid="{00000000-0005-0000-0000-000061000000}"/>
    <cellStyle name="_Currency_Book1_GOL Financial Model_Fluxo de Caixa Orcamento FINAL_13052009 2" xfId="6330" xr:uid="{00000000-0005-0000-0000-000062000000}"/>
    <cellStyle name="_Currency_Book1_Orçamento Caixa 2010 (após - 60 MM)_dolar_19032010" xfId="6331" xr:uid="{00000000-0005-0000-0000-000063000000}"/>
    <cellStyle name="_Currency_Book1_Orçamento Caixa 2010 (após - 60 MM)_dolar_19032010 2" xfId="6332" xr:uid="{00000000-0005-0000-0000-000064000000}"/>
    <cellStyle name="_Currency_Book1_Pasta2" xfId="130" xr:uid="{00000000-0005-0000-0000-000065000000}"/>
    <cellStyle name="_Currency_Book1_Pasta2 2" xfId="6333" xr:uid="{00000000-0005-0000-0000-000066000000}"/>
    <cellStyle name="_Currency_Book1_Pasta2_Fluxo de caixa 20100224" xfId="6334" xr:uid="{00000000-0005-0000-0000-000067000000}"/>
    <cellStyle name="_Currency_Book1_Pasta2_Fluxo de caixa 20100224 2" xfId="6335" xr:uid="{00000000-0005-0000-0000-000068000000}"/>
    <cellStyle name="_Currency_Book1_Pasta2_Geração de Caixa Operacional 2010 (2)" xfId="6336" xr:uid="{00000000-0005-0000-0000-000069000000}"/>
    <cellStyle name="_Currency_Book1_Pasta2_Geração de Caixa Operacional 2010 (2) 2" xfId="6337" xr:uid="{00000000-0005-0000-0000-00006A000000}"/>
    <cellStyle name="_Currency_Book1_Pasta2_Orçamento Caixa 2010 (após - 60 MM)_dolar_19032010" xfId="6338" xr:uid="{00000000-0005-0000-0000-00006B000000}"/>
    <cellStyle name="_Currency_Book1_Pasta2_Orçamento Caixa 2010 (após - 60 MM)_dolar_19032010 2" xfId="6339" xr:uid="{00000000-0005-0000-0000-00006C000000}"/>
    <cellStyle name="_Currency_Book1_Relatório (2006)" xfId="131" xr:uid="{00000000-0005-0000-0000-00006D000000}"/>
    <cellStyle name="_Currency_Book1_Relatório (2007)" xfId="132" xr:uid="{00000000-0005-0000-0000-00006E000000}"/>
    <cellStyle name="_Currency_Cópia de Modelo - Fluxo de Caixa Orcamento 09052009_V36_3" xfId="133" xr:uid="{00000000-0005-0000-0000-00006F000000}"/>
    <cellStyle name="_Currency_Cópia de Modelo - Fluxo de Caixa Orcamento 09052009_V36_3 2" xfId="6340" xr:uid="{00000000-0005-0000-0000-000070000000}"/>
    <cellStyle name="_Currency_Cópia de Modelo - Fluxo de Caixa Orcamento 09052009_V36_3_Apresentação 230609" xfId="134" xr:uid="{00000000-0005-0000-0000-000071000000}"/>
    <cellStyle name="_Currency_Cópia de Modelo - Fluxo de Caixa Orcamento 09052009_V36_3_Apresentação 230609 2" xfId="6341" xr:uid="{00000000-0005-0000-0000-000072000000}"/>
    <cellStyle name="_Currency_Cópia de Modelo - Fluxo de Caixa Orcamento 09052009_V36_3_Apresentação 230609_Fluxo de caixa 20100224" xfId="6342" xr:uid="{00000000-0005-0000-0000-000073000000}"/>
    <cellStyle name="_Currency_Cópia de Modelo - Fluxo de Caixa Orcamento 09052009_V36_3_Apresentação 230609_Fluxo de caixa 20100224 2" xfId="6343" xr:uid="{00000000-0005-0000-0000-000074000000}"/>
    <cellStyle name="_Currency_Cópia de Modelo - Fluxo de Caixa Orcamento 09052009_V36_3_Apresentação 230609_Geração de Caixa Operacional 2010 (2)" xfId="6344" xr:uid="{00000000-0005-0000-0000-000075000000}"/>
    <cellStyle name="_Currency_Cópia de Modelo - Fluxo de Caixa Orcamento 09052009_V36_3_Apresentação 230609_Geração de Caixa Operacional 2010 (2) 2" xfId="6345" xr:uid="{00000000-0005-0000-0000-000076000000}"/>
    <cellStyle name="_Currency_Cópia de Modelo - Fluxo de Caixa Orcamento 09052009_V36_3_Apresentação 230609_Orçamento Caixa 2010 (após - 60 MM)_dolar_19032010" xfId="6346" xr:uid="{00000000-0005-0000-0000-000077000000}"/>
    <cellStyle name="_Currency_Cópia de Modelo - Fluxo de Caixa Orcamento 09052009_V36_3_Apresentação 230609_Orçamento Caixa 2010 (após - 60 MM)_dolar_19032010 2" xfId="6347" xr:uid="{00000000-0005-0000-0000-000078000000}"/>
    <cellStyle name="_Currency_DCF output" xfId="135" xr:uid="{00000000-0005-0000-0000-000079000000}"/>
    <cellStyle name="_Currency_Fluxo de caixa 20100224" xfId="6348" xr:uid="{00000000-0005-0000-0000-00007A000000}"/>
    <cellStyle name="_Currency_Fluxo de caixa 20100224 2" xfId="6349" xr:uid="{00000000-0005-0000-0000-00007B000000}"/>
    <cellStyle name="_Currency_Fluxo de Caixa Orcamento FINAL_13052009" xfId="136" xr:uid="{00000000-0005-0000-0000-00007C000000}"/>
    <cellStyle name="_Currency_Fluxo de Caixa Orcamento FINAL_13052009 2" xfId="6350" xr:uid="{00000000-0005-0000-0000-00007D000000}"/>
    <cellStyle name="_Currency_Geração de Caixa Operacional 2010 (2)" xfId="6351" xr:uid="{00000000-0005-0000-0000-00007E000000}"/>
    <cellStyle name="_Currency_Geração de Caixa Operacional 2010 (2) 2" xfId="6352" xr:uid="{00000000-0005-0000-0000-00007F000000}"/>
    <cellStyle name="_Currency_GOL Financial Model" xfId="137" xr:uid="{00000000-0005-0000-0000-000080000000}"/>
    <cellStyle name="_Currency_GOL Financial Model 2" xfId="6353" xr:uid="{00000000-0005-0000-0000-000081000000}"/>
    <cellStyle name="_Currency_GOL Financial Model ORC2007 v16" xfId="138" xr:uid="{00000000-0005-0000-0000-000082000000}"/>
    <cellStyle name="_Currency_GOL Financial Model ORC2007 v16 2" xfId="6354" xr:uid="{00000000-0005-0000-0000-000083000000}"/>
    <cellStyle name="_Currency_GOL Financial Model ORC2007 v16_Apresentação 230609" xfId="139" xr:uid="{00000000-0005-0000-0000-000084000000}"/>
    <cellStyle name="_Currency_GOL Financial Model ORC2007 v16_Apresentação 230609 2" xfId="6355" xr:uid="{00000000-0005-0000-0000-000085000000}"/>
    <cellStyle name="_Currency_GOL Financial Model ORC2007 v16_Apresentação 230609_Fluxo de caixa 20100224" xfId="6356" xr:uid="{00000000-0005-0000-0000-000086000000}"/>
    <cellStyle name="_Currency_GOL Financial Model ORC2007 v16_Apresentação 230609_Fluxo de caixa 20100224 2" xfId="6357" xr:uid="{00000000-0005-0000-0000-000087000000}"/>
    <cellStyle name="_Currency_GOL Financial Model ORC2007 v16_Apresentação 230609_Geração de Caixa Operacional 2010 (2)" xfId="6358" xr:uid="{00000000-0005-0000-0000-000088000000}"/>
    <cellStyle name="_Currency_GOL Financial Model ORC2007 v16_Apresentação 230609_Geração de Caixa Operacional 2010 (2) 2" xfId="6359" xr:uid="{00000000-0005-0000-0000-000089000000}"/>
    <cellStyle name="_Currency_GOL Financial Model ORC2007 v16_Apresentação 230609_Orçamento Caixa 2010 (após - 60 MM)_dolar_19032010" xfId="6360" xr:uid="{00000000-0005-0000-0000-00008A000000}"/>
    <cellStyle name="_Currency_GOL Financial Model ORC2007 v16_Apresentação 230609_Orçamento Caixa 2010 (após - 60 MM)_dolar_19032010 2" xfId="6361" xr:uid="{00000000-0005-0000-0000-00008B000000}"/>
    <cellStyle name="_Currency_GOL Financial Model ORC2007 v16_Fluxo de Caixa Orcamento FINAL_13052009" xfId="140" xr:uid="{00000000-0005-0000-0000-00008C000000}"/>
    <cellStyle name="_Currency_GOL Financial Model ORC2007 v16_Fluxo de Caixa Orcamento FINAL_13052009 2" xfId="6362" xr:uid="{00000000-0005-0000-0000-00008D000000}"/>
    <cellStyle name="_Currency_GOL Financial Model_Apresentação 230609" xfId="141" xr:uid="{00000000-0005-0000-0000-00008E000000}"/>
    <cellStyle name="_Currency_GOL Financial Model_Apresentação 230609 2" xfId="6363" xr:uid="{00000000-0005-0000-0000-00008F000000}"/>
    <cellStyle name="_Currency_GOL Financial Model_Apresentação 230609_Fluxo de caixa 20100224" xfId="6364" xr:uid="{00000000-0005-0000-0000-000090000000}"/>
    <cellStyle name="_Currency_GOL Financial Model_Apresentação 230609_Fluxo de caixa 20100224 2" xfId="6365" xr:uid="{00000000-0005-0000-0000-000091000000}"/>
    <cellStyle name="_Currency_GOL Financial Model_Apresentação 230609_Geração de Caixa Operacional 2010 (2)" xfId="6366" xr:uid="{00000000-0005-0000-0000-000092000000}"/>
    <cellStyle name="_Currency_GOL Financial Model_Apresentação 230609_Geração de Caixa Operacional 2010 (2) 2" xfId="6367" xr:uid="{00000000-0005-0000-0000-000093000000}"/>
    <cellStyle name="_Currency_GOL Financial Model_Apresentação 230609_Orçamento Caixa 2010 (após - 60 MM)_dolar_19032010" xfId="6368" xr:uid="{00000000-0005-0000-0000-000094000000}"/>
    <cellStyle name="_Currency_GOL Financial Model_Apresentação 230609_Orçamento Caixa 2010 (após - 60 MM)_dolar_19032010 2" xfId="6369" xr:uid="{00000000-0005-0000-0000-000095000000}"/>
    <cellStyle name="_Currency_GOL Financial Model_Fluxo de Caixa Orcamento FINAL_13052009" xfId="142" xr:uid="{00000000-0005-0000-0000-000096000000}"/>
    <cellStyle name="_Currency_GOL Financial Model_Fluxo de Caixa Orcamento FINAL_13052009 2" xfId="6370" xr:uid="{00000000-0005-0000-0000-000097000000}"/>
    <cellStyle name="_Currency_HLHZ _ 28 Abr 2003_Cash Sweep_10" xfId="143" xr:uid="{00000000-0005-0000-0000-000098000000}"/>
    <cellStyle name="_Currency_HLHZ _ 28 Abr 2003_Cash Sweep_10 2" xfId="144" xr:uid="{00000000-0005-0000-0000-000099000000}"/>
    <cellStyle name="_Currency_Master Business Plan37" xfId="145" xr:uid="{00000000-0005-0000-0000-00009A000000}"/>
    <cellStyle name="_Currency_Master Business Plan37 2" xfId="146" xr:uid="{00000000-0005-0000-0000-00009B000000}"/>
    <cellStyle name="_Currency_Orçamento Caixa 2010 (após - 60 MM)_dolar_19032010" xfId="6371" xr:uid="{00000000-0005-0000-0000-00009C000000}"/>
    <cellStyle name="_Currency_Orçamento Caixa 2010 (após - 60 MM)_dolar_19032010 2" xfId="6372" xr:uid="{00000000-0005-0000-0000-00009D000000}"/>
    <cellStyle name="_Currency_Pasta2" xfId="147" xr:uid="{00000000-0005-0000-0000-00009E000000}"/>
    <cellStyle name="_Currency_Pasta2 2" xfId="6373" xr:uid="{00000000-0005-0000-0000-00009F000000}"/>
    <cellStyle name="_Currency_Pasta2_Fluxo de caixa 20100224" xfId="6374" xr:uid="{00000000-0005-0000-0000-0000A0000000}"/>
    <cellStyle name="_Currency_Pasta2_Fluxo de caixa 20100224 2" xfId="6375" xr:uid="{00000000-0005-0000-0000-0000A1000000}"/>
    <cellStyle name="_Currency_Pasta2_Geração de Caixa Operacional 2010 (2)" xfId="6376" xr:uid="{00000000-0005-0000-0000-0000A2000000}"/>
    <cellStyle name="_Currency_Pasta2_Geração de Caixa Operacional 2010 (2) 2" xfId="6377" xr:uid="{00000000-0005-0000-0000-0000A3000000}"/>
    <cellStyle name="_Currency_Pasta2_Orçamento Caixa 2010 (após - 60 MM)_dolar_19032010" xfId="6378" xr:uid="{00000000-0005-0000-0000-0000A4000000}"/>
    <cellStyle name="_Currency_Pasta2_Orçamento Caixa 2010 (após - 60 MM)_dolar_19032010 2" xfId="6379" xr:uid="{00000000-0005-0000-0000-0000A5000000}"/>
    <cellStyle name="_Currency_Relatório (2006)" xfId="148" xr:uid="{00000000-0005-0000-0000-0000A6000000}"/>
    <cellStyle name="_Currency_Relatório (2007)" xfId="149" xr:uid="{00000000-0005-0000-0000-0000A7000000}"/>
    <cellStyle name="_Currency_vmatrix bb" xfId="150" xr:uid="{00000000-0005-0000-0000-0000A8000000}"/>
    <cellStyle name="_Currency_vmatrix bb 2" xfId="6380" xr:uid="{00000000-0005-0000-0000-0000A9000000}"/>
    <cellStyle name="_Currency_wacc bb final" xfId="151" xr:uid="{00000000-0005-0000-0000-0000AA000000}"/>
    <cellStyle name="_Currency_wacc bb final 2" xfId="6381" xr:uid="{00000000-0005-0000-0000-0000AB000000}"/>
    <cellStyle name="_Currency_wacc bb final_Cópia de Modelo - Fluxo de Caixa Orcamento 09052009_V36_3" xfId="152" xr:uid="{00000000-0005-0000-0000-0000AC000000}"/>
    <cellStyle name="_Currency_wacc bb final_Cópia de Modelo - Fluxo de Caixa Orcamento 09052009_V36_3 2" xfId="6382" xr:uid="{00000000-0005-0000-0000-0000AD000000}"/>
    <cellStyle name="_Currency_wacc bb final_Cópia de Modelo - Fluxo de Caixa Orcamento 09052009_V36_3_Apresentação 230609" xfId="153" xr:uid="{00000000-0005-0000-0000-0000AE000000}"/>
    <cellStyle name="_Currency_wacc bb final_Cópia de Modelo - Fluxo de Caixa Orcamento 09052009_V36_3_Apresentação 230609 2" xfId="6383" xr:uid="{00000000-0005-0000-0000-0000AF000000}"/>
    <cellStyle name="_Currency_wacc bb final_Cópia de Modelo - Fluxo de Caixa Orcamento 09052009_V36_3_Apresentação 230609_Fluxo de caixa 20100224" xfId="6384" xr:uid="{00000000-0005-0000-0000-0000B0000000}"/>
    <cellStyle name="_Currency_wacc bb final_Cópia de Modelo - Fluxo de Caixa Orcamento 09052009_V36_3_Apresentação 230609_Fluxo de caixa 20100224 2" xfId="6385" xr:uid="{00000000-0005-0000-0000-0000B1000000}"/>
    <cellStyle name="_Currency_wacc bb final_Cópia de Modelo - Fluxo de Caixa Orcamento 09052009_V36_3_Apresentação 230609_Geração de Caixa Operacional 2010 (2)" xfId="6386" xr:uid="{00000000-0005-0000-0000-0000B2000000}"/>
    <cellStyle name="_Currency_wacc bb final_Cópia de Modelo - Fluxo de Caixa Orcamento 09052009_V36_3_Apresentação 230609_Geração de Caixa Operacional 2010 (2) 2" xfId="6387" xr:uid="{00000000-0005-0000-0000-0000B3000000}"/>
    <cellStyle name="_Currency_wacc bb final_Cópia de Modelo - Fluxo de Caixa Orcamento 09052009_V36_3_Apresentação 230609_Orçamento Caixa 2010 (após - 60 MM)_dolar_19032010" xfId="6388" xr:uid="{00000000-0005-0000-0000-0000B4000000}"/>
    <cellStyle name="_Currency_wacc bb final_Cópia de Modelo - Fluxo de Caixa Orcamento 09052009_V36_3_Apresentação 230609_Orçamento Caixa 2010 (após - 60 MM)_dolar_19032010 2" xfId="6389" xr:uid="{00000000-0005-0000-0000-0000B5000000}"/>
    <cellStyle name="_Currency_wacc bb final_Fluxo de caixa 20100224" xfId="6390" xr:uid="{00000000-0005-0000-0000-0000B6000000}"/>
    <cellStyle name="_Currency_wacc bb final_Fluxo de caixa 20100224 2" xfId="6391" xr:uid="{00000000-0005-0000-0000-0000B7000000}"/>
    <cellStyle name="_Currency_wacc bb final_Fluxo de Caixa Orcamento FINAL_13052009" xfId="154" xr:uid="{00000000-0005-0000-0000-0000B8000000}"/>
    <cellStyle name="_Currency_wacc bb final_Fluxo de Caixa Orcamento FINAL_13052009 2" xfId="6392" xr:uid="{00000000-0005-0000-0000-0000B9000000}"/>
    <cellStyle name="_Currency_wacc bb final_Geração de Caixa Operacional 2010 (2)" xfId="6393" xr:uid="{00000000-0005-0000-0000-0000BA000000}"/>
    <cellStyle name="_Currency_wacc bb final_Geração de Caixa Operacional 2010 (2) 2" xfId="6394" xr:uid="{00000000-0005-0000-0000-0000BB000000}"/>
    <cellStyle name="_Currency_wacc bb final_GOL Financial Model" xfId="155" xr:uid="{00000000-0005-0000-0000-0000BC000000}"/>
    <cellStyle name="_Currency_wacc bb final_GOL Financial Model 2" xfId="6395" xr:uid="{00000000-0005-0000-0000-0000BD000000}"/>
    <cellStyle name="_Currency_wacc bb final_GOL Financial Model ORC2007 v16" xfId="156" xr:uid="{00000000-0005-0000-0000-0000BE000000}"/>
    <cellStyle name="_Currency_wacc bb final_GOL Financial Model ORC2007 v16 2" xfId="6396" xr:uid="{00000000-0005-0000-0000-0000BF000000}"/>
    <cellStyle name="_Currency_wacc bb final_GOL Financial Model ORC2007 v16_Apresentação 230609" xfId="157" xr:uid="{00000000-0005-0000-0000-0000C0000000}"/>
    <cellStyle name="_Currency_wacc bb final_GOL Financial Model ORC2007 v16_Apresentação 230609 2" xfId="6397" xr:uid="{00000000-0005-0000-0000-0000C1000000}"/>
    <cellStyle name="_Currency_wacc bb final_GOL Financial Model ORC2007 v16_Apresentação 230609_Fluxo de caixa 20100224" xfId="6398" xr:uid="{00000000-0005-0000-0000-0000C2000000}"/>
    <cellStyle name="_Currency_wacc bb final_GOL Financial Model ORC2007 v16_Apresentação 230609_Fluxo de caixa 20100224 2" xfId="6399" xr:uid="{00000000-0005-0000-0000-0000C3000000}"/>
    <cellStyle name="_Currency_wacc bb final_GOL Financial Model ORC2007 v16_Apresentação 230609_Geração de Caixa Operacional 2010 (2)" xfId="6400" xr:uid="{00000000-0005-0000-0000-0000C4000000}"/>
    <cellStyle name="_Currency_wacc bb final_GOL Financial Model ORC2007 v16_Apresentação 230609_Geração de Caixa Operacional 2010 (2) 2" xfId="6401" xr:uid="{00000000-0005-0000-0000-0000C5000000}"/>
    <cellStyle name="_Currency_wacc bb final_GOL Financial Model ORC2007 v16_Apresentação 230609_Orçamento Caixa 2010 (após - 60 MM)_dolar_19032010" xfId="6402" xr:uid="{00000000-0005-0000-0000-0000C6000000}"/>
    <cellStyle name="_Currency_wacc bb final_GOL Financial Model ORC2007 v16_Apresentação 230609_Orçamento Caixa 2010 (após - 60 MM)_dolar_19032010 2" xfId="6403" xr:uid="{00000000-0005-0000-0000-0000C7000000}"/>
    <cellStyle name="_Currency_wacc bb final_GOL Financial Model ORC2007 v16_Fluxo de Caixa Orcamento FINAL_13052009" xfId="158" xr:uid="{00000000-0005-0000-0000-0000C8000000}"/>
    <cellStyle name="_Currency_wacc bb final_GOL Financial Model ORC2007 v16_Fluxo de Caixa Orcamento FINAL_13052009 2" xfId="6404" xr:uid="{00000000-0005-0000-0000-0000C9000000}"/>
    <cellStyle name="_Currency_wacc bb final_GOL Financial Model_Apresentação 230609" xfId="159" xr:uid="{00000000-0005-0000-0000-0000CA000000}"/>
    <cellStyle name="_Currency_wacc bb final_GOL Financial Model_Apresentação 230609 2" xfId="6405" xr:uid="{00000000-0005-0000-0000-0000CB000000}"/>
    <cellStyle name="_Currency_wacc bb final_GOL Financial Model_Apresentação 230609_Fluxo de caixa 20100224" xfId="6406" xr:uid="{00000000-0005-0000-0000-0000CC000000}"/>
    <cellStyle name="_Currency_wacc bb final_GOL Financial Model_Apresentação 230609_Fluxo de caixa 20100224 2" xfId="6407" xr:uid="{00000000-0005-0000-0000-0000CD000000}"/>
    <cellStyle name="_Currency_wacc bb final_GOL Financial Model_Apresentação 230609_Geração de Caixa Operacional 2010 (2)" xfId="6408" xr:uid="{00000000-0005-0000-0000-0000CE000000}"/>
    <cellStyle name="_Currency_wacc bb final_GOL Financial Model_Apresentação 230609_Geração de Caixa Operacional 2010 (2) 2" xfId="6409" xr:uid="{00000000-0005-0000-0000-0000CF000000}"/>
    <cellStyle name="_Currency_wacc bb final_GOL Financial Model_Apresentação 230609_Orçamento Caixa 2010 (após - 60 MM)_dolar_19032010" xfId="6410" xr:uid="{00000000-0005-0000-0000-0000D0000000}"/>
    <cellStyle name="_Currency_wacc bb final_GOL Financial Model_Apresentação 230609_Orçamento Caixa 2010 (após - 60 MM)_dolar_19032010 2" xfId="6411" xr:uid="{00000000-0005-0000-0000-0000D1000000}"/>
    <cellStyle name="_Currency_wacc bb final_GOL Financial Model_Fluxo de Caixa Orcamento FINAL_13052009" xfId="160" xr:uid="{00000000-0005-0000-0000-0000D2000000}"/>
    <cellStyle name="_Currency_wacc bb final_GOL Financial Model_Fluxo de Caixa Orcamento FINAL_13052009 2" xfId="6412" xr:uid="{00000000-0005-0000-0000-0000D3000000}"/>
    <cellStyle name="_Currency_wacc bb final_Orçamento Caixa 2010 (após - 60 MM)_dolar_19032010" xfId="6413" xr:uid="{00000000-0005-0000-0000-0000D4000000}"/>
    <cellStyle name="_Currency_wacc bb final_Orçamento Caixa 2010 (após - 60 MM)_dolar_19032010 2" xfId="6414" xr:uid="{00000000-0005-0000-0000-0000D5000000}"/>
    <cellStyle name="_Currency_wacc bb final_Pasta2" xfId="161" xr:uid="{00000000-0005-0000-0000-0000D6000000}"/>
    <cellStyle name="_Currency_wacc bb final_Pasta2 2" xfId="6415" xr:uid="{00000000-0005-0000-0000-0000D7000000}"/>
    <cellStyle name="_Currency_wacc bb final_Pasta2_Fluxo de caixa 20100224" xfId="6416" xr:uid="{00000000-0005-0000-0000-0000D8000000}"/>
    <cellStyle name="_Currency_wacc bb final_Pasta2_Fluxo de caixa 20100224 2" xfId="6417" xr:uid="{00000000-0005-0000-0000-0000D9000000}"/>
    <cellStyle name="_Currency_wacc bb final_Pasta2_Geração de Caixa Operacional 2010 (2)" xfId="6418" xr:uid="{00000000-0005-0000-0000-0000DA000000}"/>
    <cellStyle name="_Currency_wacc bb final_Pasta2_Geração de Caixa Operacional 2010 (2) 2" xfId="6419" xr:uid="{00000000-0005-0000-0000-0000DB000000}"/>
    <cellStyle name="_Currency_wacc bb final_Pasta2_Orçamento Caixa 2010 (após - 60 MM)_dolar_19032010" xfId="6420" xr:uid="{00000000-0005-0000-0000-0000DC000000}"/>
    <cellStyle name="_Currency_wacc bb final_Pasta2_Orçamento Caixa 2010 (após - 60 MM)_dolar_19032010 2" xfId="6421" xr:uid="{00000000-0005-0000-0000-0000DD000000}"/>
    <cellStyle name="_Currency_wacc bb final_Relatório (2006)" xfId="162" xr:uid="{00000000-0005-0000-0000-0000DE000000}"/>
    <cellStyle name="_Currency_wacc bb final_Relatório (2007)" xfId="163" xr:uid="{00000000-0005-0000-0000-0000DF000000}"/>
    <cellStyle name="_CurrencySpace" xfId="164" xr:uid="{00000000-0005-0000-0000-0000E0000000}"/>
    <cellStyle name="_CurrencySpace 2" xfId="165" xr:uid="{00000000-0005-0000-0000-0000E1000000}"/>
    <cellStyle name="_CurrencySpace_Book1" xfId="166" xr:uid="{00000000-0005-0000-0000-0000E2000000}"/>
    <cellStyle name="_CurrencySpace_Book1 2" xfId="6422" xr:uid="{00000000-0005-0000-0000-0000E3000000}"/>
    <cellStyle name="_CurrencySpace_DCF output" xfId="167" xr:uid="{00000000-0005-0000-0000-0000E4000000}"/>
    <cellStyle name="_CurrencySpace_DCF output 2" xfId="6423" xr:uid="{00000000-0005-0000-0000-0000E5000000}"/>
    <cellStyle name="_CurrencySpace_DCF v01" xfId="168" xr:uid="{00000000-0005-0000-0000-0000E6000000}"/>
    <cellStyle name="_CurrencySpace_DCF v01 2" xfId="6424" xr:uid="{00000000-0005-0000-0000-0000E7000000}"/>
    <cellStyle name="-_dividas" xfId="169" xr:uid="{00000000-0005-0000-0000-0000E8000000}"/>
    <cellStyle name="_DRE_TENDÊNCIA_ViVAX_2007_Com pagamento de juros Kd" xfId="170" xr:uid="{00000000-0005-0000-0000-0000E9000000}"/>
    <cellStyle name="_Escopo Manut LOJAS_010609" xfId="9398" xr:uid="{00000000-0005-0000-0000-0000EA000000}"/>
    <cellStyle name="_Euro" xfId="171" xr:uid="{00000000-0005-0000-0000-0000EB000000}"/>
    <cellStyle name="_Euro 2" xfId="172" xr:uid="{00000000-0005-0000-0000-0000EC000000}"/>
    <cellStyle name="_Financial Analysis (12-1-03)" xfId="173" xr:uid="{00000000-0005-0000-0000-0000ED000000}"/>
    <cellStyle name="_Financial Analysis (12-1-03) 2" xfId="6425" xr:uid="{00000000-0005-0000-0000-0000EE000000}"/>
    <cellStyle name="_Financial Analysis (12-1-03)_Comparativo VP FIN v1_So 2008" xfId="6426" xr:uid="{00000000-0005-0000-0000-0000EF000000}"/>
    <cellStyle name="_Financial Analysis (12-1-03)_Comparativo VP MKT 2008 v1_So 2008" xfId="6427" xr:uid="{00000000-0005-0000-0000-0000F0000000}"/>
    <cellStyle name="_Financial Analysis (12-1-03)_Comparativo VP TEC 2008 v1_So 2008" xfId="6428" xr:uid="{00000000-0005-0000-0000-0000F1000000}"/>
    <cellStyle name="_Financial Analysis (12-1-03)_Comparativo VP TEC 2008_Luiz Sergio" xfId="6429" xr:uid="{00000000-0005-0000-0000-0000F2000000}"/>
    <cellStyle name="_Financial Analysis (12-1-03)_Cópia de Modelo - Fluxo de Caixa Orcamento 09052009_V36_3" xfId="174" xr:uid="{00000000-0005-0000-0000-0000F3000000}"/>
    <cellStyle name="_Financial Analysis (12-1-03)_Cópia de Modelo - Fluxo de Caixa Orcamento 09052009_V36_3 2" xfId="6430" xr:uid="{00000000-0005-0000-0000-0000F4000000}"/>
    <cellStyle name="_Financial Analysis (12-1-03)_Fluxo de Caixa Orcamento FINAL_13052009" xfId="175" xr:uid="{00000000-0005-0000-0000-0000F5000000}"/>
    <cellStyle name="_Financial Analysis (12-1-03)_Fluxo de Caixa Orcamento FINAL_13052009 2" xfId="6431" xr:uid="{00000000-0005-0000-0000-0000F6000000}"/>
    <cellStyle name="_Financial Analysis (12-1-03)_FM_dummyV4" xfId="176" xr:uid="{00000000-0005-0000-0000-0000F7000000}"/>
    <cellStyle name="_Financial Analysis (12-1-03)_GOL Financial Model - Bank Case NOV08 GECAS" xfId="177" xr:uid="{00000000-0005-0000-0000-0000F8000000}"/>
    <cellStyle name="_Financial Analysis (12-1-03)_GOL Financial Model - Bank Case NOV08 GECAS_FM_dummyV4" xfId="178" xr:uid="{00000000-0005-0000-0000-0000F9000000}"/>
    <cellStyle name="_Financial Analysis (12-1-03)_GOL Financial Model - Bank Case NOV08 GECAS_Leasing_V3" xfId="179" xr:uid="{00000000-0005-0000-0000-0000FA000000}"/>
    <cellStyle name="_Financial Analysis (12-1-03)_GOL Financial Model - Bank Case NOV08 GECAS_MODELO PDP III" xfId="180" xr:uid="{00000000-0005-0000-0000-0000FB000000}"/>
    <cellStyle name="_Financial Analysis (12-1-03)_GOL Financial Model_ORC2009V27" xfId="181" xr:uid="{00000000-0005-0000-0000-0000FC000000}"/>
    <cellStyle name="_Financial Analysis (12-1-03)_GOL Financial Model_ORC2009V27 2" xfId="6432" xr:uid="{00000000-0005-0000-0000-0000FD000000}"/>
    <cellStyle name="_Financial Analysis (12-1-03)_GOL Financial Model_ORC2009V27_ORÇ_2009" xfId="182" xr:uid="{00000000-0005-0000-0000-0000FE000000}"/>
    <cellStyle name="_Financial Analysis (12-1-03)_GOL Financial Model_ORC2009V27_ORÇ_2009 2" xfId="6433" xr:uid="{00000000-0005-0000-0000-0000FF000000}"/>
    <cellStyle name="_Financial Analysis (12-1-03)_lalur" xfId="183" xr:uid="{00000000-0005-0000-0000-000000010000}"/>
    <cellStyle name="_Financial Analysis (12-1-03)_Leasing_V3" xfId="184" xr:uid="{00000000-0005-0000-0000-000001010000}"/>
    <cellStyle name="_Financial Analysis (12-1-03)_MODELO PDP III" xfId="185" xr:uid="{00000000-0005-0000-0000-000002010000}"/>
    <cellStyle name="_Financial Analysis (12-1-03)_ORÇ_2009" xfId="186" xr:uid="{00000000-0005-0000-0000-000003010000}"/>
    <cellStyle name="_Financial Analysis (12-1-03)_ORÇ_2009 2" xfId="6434" xr:uid="{00000000-0005-0000-0000-000004010000}"/>
    <cellStyle name="_Financial Analysis (12-1-03)_Pasta2" xfId="187" xr:uid="{00000000-0005-0000-0000-000005010000}"/>
    <cellStyle name="_Financial Analysis (12-1-03)_Pasta2 2" xfId="6435" xr:uid="{00000000-0005-0000-0000-000006010000}"/>
    <cellStyle name="_Financial Analysis 12-2-03" xfId="188" xr:uid="{00000000-0005-0000-0000-000007010000}"/>
    <cellStyle name="_Financial Analysis 12-2-03 2" xfId="6436" xr:uid="{00000000-0005-0000-0000-000008010000}"/>
    <cellStyle name="_Financial Analysis 12-2-03_Comparativo VP FIN v1_So 2008" xfId="6437" xr:uid="{00000000-0005-0000-0000-000009010000}"/>
    <cellStyle name="_Financial Analysis 12-2-03_Comparativo VP MKT 2008 v1_So 2008" xfId="6438" xr:uid="{00000000-0005-0000-0000-00000A010000}"/>
    <cellStyle name="_Financial Analysis 12-2-03_Comparativo VP TEC 2008 v1_So 2008" xfId="6439" xr:uid="{00000000-0005-0000-0000-00000B010000}"/>
    <cellStyle name="_Financial Analysis 12-2-03_Comparativo VP TEC 2008_Luiz Sergio" xfId="6440" xr:uid="{00000000-0005-0000-0000-00000C010000}"/>
    <cellStyle name="_Financial Analysis 12-2-03_Cópia de Modelo - Fluxo de Caixa Orcamento 09052009_V36_3" xfId="189" xr:uid="{00000000-0005-0000-0000-00000D010000}"/>
    <cellStyle name="_Financial Analysis 12-2-03_Cópia de Modelo - Fluxo de Caixa Orcamento 09052009_V36_3 2" xfId="6441" xr:uid="{00000000-0005-0000-0000-00000E010000}"/>
    <cellStyle name="_Financial Analysis 12-2-03_Fluxo de Caixa Orcamento FINAL_13052009" xfId="190" xr:uid="{00000000-0005-0000-0000-00000F010000}"/>
    <cellStyle name="_Financial Analysis 12-2-03_Fluxo de Caixa Orcamento FINAL_13052009 2" xfId="6442" xr:uid="{00000000-0005-0000-0000-000010010000}"/>
    <cellStyle name="_Financial Analysis 12-2-03_FM_dummyV4" xfId="191" xr:uid="{00000000-0005-0000-0000-000011010000}"/>
    <cellStyle name="_Financial Analysis 12-2-03_GOL Financial Model - Bank Case NOV08 GECAS" xfId="192" xr:uid="{00000000-0005-0000-0000-000012010000}"/>
    <cellStyle name="_Financial Analysis 12-2-03_GOL Financial Model - Bank Case NOV08 GECAS_FM_dummyV4" xfId="193" xr:uid="{00000000-0005-0000-0000-000013010000}"/>
    <cellStyle name="_Financial Analysis 12-2-03_GOL Financial Model - Bank Case NOV08 GECAS_Leasing_V3" xfId="194" xr:uid="{00000000-0005-0000-0000-000014010000}"/>
    <cellStyle name="_Financial Analysis 12-2-03_GOL Financial Model - Bank Case NOV08 GECAS_MODELO PDP III" xfId="195" xr:uid="{00000000-0005-0000-0000-000015010000}"/>
    <cellStyle name="_Financial Analysis 12-2-03_GOL Financial Model_ORC2009V27" xfId="196" xr:uid="{00000000-0005-0000-0000-000016010000}"/>
    <cellStyle name="_Financial Analysis 12-2-03_GOL Financial Model_ORC2009V27 2" xfId="6443" xr:uid="{00000000-0005-0000-0000-000017010000}"/>
    <cellStyle name="_Financial Analysis 12-2-03_GOL Financial Model_ORC2009V27_ORÇ_2009" xfId="197" xr:uid="{00000000-0005-0000-0000-000018010000}"/>
    <cellStyle name="_Financial Analysis 12-2-03_GOL Financial Model_ORC2009V27_ORÇ_2009 2" xfId="6444" xr:uid="{00000000-0005-0000-0000-000019010000}"/>
    <cellStyle name="_Financial Analysis 12-2-03_lalur" xfId="198" xr:uid="{00000000-0005-0000-0000-00001A010000}"/>
    <cellStyle name="_Financial Analysis 12-2-03_Leasing_V3" xfId="199" xr:uid="{00000000-0005-0000-0000-00001B010000}"/>
    <cellStyle name="_Financial Analysis 12-2-03_MODELO PDP III" xfId="200" xr:uid="{00000000-0005-0000-0000-00001C010000}"/>
    <cellStyle name="_Financial Analysis 12-2-03_ORÇ_2009" xfId="201" xr:uid="{00000000-0005-0000-0000-00001D010000}"/>
    <cellStyle name="_Financial Analysis 12-2-03_ORÇ_2009 2" xfId="6445" xr:uid="{00000000-0005-0000-0000-00001E010000}"/>
    <cellStyle name="_Financial Analysis 12-2-03_Pasta2" xfId="202" xr:uid="{00000000-0005-0000-0000-00001F010000}"/>
    <cellStyle name="_Financial Analysis 12-2-03_Pasta2 2" xfId="6446" xr:uid="{00000000-0005-0000-0000-000020010000}"/>
    <cellStyle name="_Fluxo Competência e Caixa" xfId="203" xr:uid="{00000000-0005-0000-0000-000021010000}"/>
    <cellStyle name="_Fluxo de caixa diário 22.02.07" xfId="204" xr:uid="{00000000-0005-0000-0000-000022010000}"/>
    <cellStyle name="_Fluxo de caixa diário 22.02.07_Capex Book 0808" xfId="205" xr:uid="{00000000-0005-0000-0000-000023010000}"/>
    <cellStyle name="_Fluxo de caixa diário 22.02.07_Capex Book Out 08" xfId="206" xr:uid="{00000000-0005-0000-0000-000024010000}"/>
    <cellStyle name="_Fluxo de caixa diário 22.02.07_Capex Jan_08" xfId="207" xr:uid="{00000000-0005-0000-0000-000025010000}"/>
    <cellStyle name="_Fluxo de caixa diário 22.02.07_Capex Nov" xfId="208" xr:uid="{00000000-0005-0000-0000-000026010000}"/>
    <cellStyle name="_Fluxo de caixa diário 22.02.07_cristina dre e capex" xfId="209" xr:uid="{00000000-0005-0000-0000-000027010000}"/>
    <cellStyle name="_Fluxo de caixa diário 22.02.07_DRE" xfId="210" xr:uid="{00000000-0005-0000-0000-000028010000}"/>
    <cellStyle name="_Fluxo de caixa diário 22.02.07_Res capex Set 2008" xfId="211" xr:uid="{00000000-0005-0000-0000-000029010000}"/>
    <cellStyle name="_Fluxo de caixa diário 28.02.07" xfId="212" xr:uid="{00000000-0005-0000-0000-00002A010000}"/>
    <cellStyle name="_Fluxo de caixa diário 28.02.07_506" xfId="213" xr:uid="{00000000-0005-0000-0000-00002B010000}"/>
    <cellStyle name="_Fluxo de caixa diário 28.02.07_506_Capex Book 0808" xfId="214" xr:uid="{00000000-0005-0000-0000-00002C010000}"/>
    <cellStyle name="_Fluxo de caixa diário 28.02.07_506_Capex Book Out 08" xfId="215" xr:uid="{00000000-0005-0000-0000-00002D010000}"/>
    <cellStyle name="_Fluxo de caixa diário 28.02.07_506_Capex Jan_08" xfId="216" xr:uid="{00000000-0005-0000-0000-00002E010000}"/>
    <cellStyle name="_Fluxo de caixa diário 28.02.07_506_Capex Nov" xfId="217" xr:uid="{00000000-0005-0000-0000-00002F010000}"/>
    <cellStyle name="_Fluxo de caixa diário 28.02.07_506_cristina dre e capex" xfId="218" xr:uid="{00000000-0005-0000-0000-000030010000}"/>
    <cellStyle name="_Fluxo de caixa diário 28.02.07_506_DRE" xfId="219" xr:uid="{00000000-0005-0000-0000-000031010000}"/>
    <cellStyle name="_Fluxo de caixa diário 28.02.07_506_Res capex Set 2008" xfId="220" xr:uid="{00000000-0005-0000-0000-000032010000}"/>
    <cellStyle name="_Fluxo de caixa diário 28.02.07_Capex Book 0808" xfId="221" xr:uid="{00000000-0005-0000-0000-000033010000}"/>
    <cellStyle name="_Fluxo de caixa diário 28.02.07_Capex Book Out 08" xfId="222" xr:uid="{00000000-0005-0000-0000-000034010000}"/>
    <cellStyle name="_Fluxo de caixa diário 28.02.07_Capex Jan_08" xfId="223" xr:uid="{00000000-0005-0000-0000-000035010000}"/>
    <cellStyle name="_Fluxo de caixa diário 28.02.07_Capex Nov" xfId="224" xr:uid="{00000000-0005-0000-0000-000036010000}"/>
    <cellStyle name="_Fluxo de caixa diário 28.02.07_cristina dre e capex" xfId="225" xr:uid="{00000000-0005-0000-0000-000037010000}"/>
    <cellStyle name="_Fluxo de caixa diário 28.02.07_DRE" xfId="226" xr:uid="{00000000-0005-0000-0000-000038010000}"/>
    <cellStyle name="_Fluxo de caixa diário 28.02.07_Res capex Set 2008" xfId="227" xr:uid="{00000000-0005-0000-0000-000039010000}"/>
    <cellStyle name="_Fluxo de caixa diário 30.03.07" xfId="228" xr:uid="{00000000-0005-0000-0000-00003A010000}"/>
    <cellStyle name="_Fluxo de caixa diário 30.03.07_Capex Book 0808" xfId="229" xr:uid="{00000000-0005-0000-0000-00003B010000}"/>
    <cellStyle name="_Fluxo de caixa diário 30.03.07_Capex Book Out 08" xfId="230" xr:uid="{00000000-0005-0000-0000-00003C010000}"/>
    <cellStyle name="_Fluxo de caixa diário 30.03.07_Capex Jan_08" xfId="231" xr:uid="{00000000-0005-0000-0000-00003D010000}"/>
    <cellStyle name="_Fluxo de caixa diário 30.03.07_Capex Nov" xfId="232" xr:uid="{00000000-0005-0000-0000-00003E010000}"/>
    <cellStyle name="_Fluxo de caixa diário 30.03.07_cristina dre e capex" xfId="233" xr:uid="{00000000-0005-0000-0000-00003F010000}"/>
    <cellStyle name="_Fluxo de caixa diário 30.03.07_DRE" xfId="234" xr:uid="{00000000-0005-0000-0000-000040010000}"/>
    <cellStyle name="_Fluxo de caixa diário 30.03.07_Res capex Set 2008" xfId="235" xr:uid="{00000000-0005-0000-0000-000041010000}"/>
    <cellStyle name="_Fluxo de caixa diário 30.03.07Saldo incial_506" xfId="236" xr:uid="{00000000-0005-0000-0000-000042010000}"/>
    <cellStyle name="_Fluxo de caixa diário 30.03.07Saldo incial_506_Capex Book 0808" xfId="237" xr:uid="{00000000-0005-0000-0000-000043010000}"/>
    <cellStyle name="_Fluxo de caixa diário 30.03.07Saldo incial_506_Capex Book Out 08" xfId="238" xr:uid="{00000000-0005-0000-0000-000044010000}"/>
    <cellStyle name="_Fluxo de caixa diário 30.03.07Saldo incial_506_Capex Jan_08" xfId="239" xr:uid="{00000000-0005-0000-0000-000045010000}"/>
    <cellStyle name="_Fluxo de caixa diário 30.03.07Saldo incial_506_Capex Nov" xfId="240" xr:uid="{00000000-0005-0000-0000-000046010000}"/>
    <cellStyle name="_Fluxo de caixa diário 30.03.07Saldo incial_506_cristina dre e capex" xfId="241" xr:uid="{00000000-0005-0000-0000-000047010000}"/>
    <cellStyle name="_Fluxo de caixa diário 30.03.07Saldo incial_506_DRE" xfId="242" xr:uid="{00000000-0005-0000-0000-000048010000}"/>
    <cellStyle name="_Fluxo de caixa diário 30.03.07Saldo incial_506_Res capex Set 2008" xfId="243" xr:uid="{00000000-0005-0000-0000-000049010000}"/>
    <cellStyle name="-_Fluxo de Caixa Orcamento FINAL_13052009" xfId="244" xr:uid="{00000000-0005-0000-0000-00004A010000}"/>
    <cellStyle name="_fluxo final tesouraria analitico" xfId="245" xr:uid="{00000000-0005-0000-0000-00004B010000}"/>
    <cellStyle name="_fluxo final tesouraria analitico_Capex Book 0808" xfId="246" xr:uid="{00000000-0005-0000-0000-00004C010000}"/>
    <cellStyle name="_fluxo final tesouraria analitico_Capex Book Out 08" xfId="247" xr:uid="{00000000-0005-0000-0000-00004D010000}"/>
    <cellStyle name="_fluxo final tesouraria analitico_Capex Jan_08" xfId="248" xr:uid="{00000000-0005-0000-0000-00004E010000}"/>
    <cellStyle name="_fluxo final tesouraria analitico_Capex Nov" xfId="249" xr:uid="{00000000-0005-0000-0000-00004F010000}"/>
    <cellStyle name="_fluxo final tesouraria analitico_cristina dre e capex" xfId="250" xr:uid="{00000000-0005-0000-0000-000050010000}"/>
    <cellStyle name="_fluxo final tesouraria analitico_DRE" xfId="251" xr:uid="{00000000-0005-0000-0000-000051010000}"/>
    <cellStyle name="_fluxo final tesouraria analitico_Res capex Set 2008" xfId="252" xr:uid="{00000000-0005-0000-0000-000052010000}"/>
    <cellStyle name="-_FM_dummyV4" xfId="253" xr:uid="{00000000-0005-0000-0000-000053010000}"/>
    <cellStyle name="_Forecast Fluxo Caixa_2007 D 7" xfId="254" xr:uid="{00000000-0005-0000-0000-000054010000}"/>
    <cellStyle name="_Forecast Fluxo Caixa_2007_Agosto" xfId="255" xr:uid="{00000000-0005-0000-0000-000055010000}"/>
    <cellStyle name="_Forecast_ Fluxo Caixa diário 30.04.2007" xfId="256" xr:uid="{00000000-0005-0000-0000-000056010000}"/>
    <cellStyle name="_Forecast_Julho C1_Fluxo Caixa diário 31.07.2007" xfId="257" xr:uid="{00000000-0005-0000-0000-000057010000}"/>
    <cellStyle name="_Forecast_JunhoA_ Fluxo Caixa diário 29.06.2007" xfId="258" xr:uid="{00000000-0005-0000-0000-000058010000}"/>
    <cellStyle name="_Forecast_MaioC_ Fluxo Caixa diário 31.05.2007" xfId="259" xr:uid="{00000000-0005-0000-0000-000059010000}"/>
    <cellStyle name="_Heading" xfId="260" xr:uid="{00000000-0005-0000-0000-00005A010000}"/>
    <cellStyle name="_Heading_prestemp" xfId="261" xr:uid="{00000000-0005-0000-0000-00005B010000}"/>
    <cellStyle name="_Heading_prestemp 2" xfId="262" xr:uid="{00000000-0005-0000-0000-00005C010000}"/>
    <cellStyle name="_Heading_prestemp_Capex Book 0808" xfId="263" xr:uid="{00000000-0005-0000-0000-00005D010000}"/>
    <cellStyle name="_Heading_prestemp_Capex Book Out 08" xfId="264" xr:uid="{00000000-0005-0000-0000-00005E010000}"/>
    <cellStyle name="_Heading_prestemp_Capex Jan_08" xfId="265" xr:uid="{00000000-0005-0000-0000-00005F010000}"/>
    <cellStyle name="_Heading_prestemp_Capex Nov" xfId="266" xr:uid="{00000000-0005-0000-0000-000060010000}"/>
    <cellStyle name="_Heading_prestemp_cristina dre e capex" xfId="267" xr:uid="{00000000-0005-0000-0000-000061010000}"/>
    <cellStyle name="_Heading_prestemp_DRE" xfId="268" xr:uid="{00000000-0005-0000-0000-000062010000}"/>
    <cellStyle name="_Heading_prestemp_Res capex Set 2008" xfId="269" xr:uid="{00000000-0005-0000-0000-000063010000}"/>
    <cellStyle name="_Highlight" xfId="270" xr:uid="{00000000-0005-0000-0000-000064010000}"/>
    <cellStyle name="_Highlight 2" xfId="271" xr:uid="{00000000-0005-0000-0000-000065010000}"/>
    <cellStyle name="-_INFOTRIM0302" xfId="272" xr:uid="{00000000-0005-0000-0000-000066010000}"/>
    <cellStyle name="-_INFOTRIM0302_30.06.09 - Análise de contas IFRS" xfId="9399" xr:uid="{00000000-0005-0000-0000-000067010000}"/>
    <cellStyle name="-_INFOTRIM0302_Base Apresentação" xfId="6447" xr:uid="{00000000-0005-0000-0000-000068010000}"/>
    <cellStyle name="-_INFOTRIM0302_Base Apresentação 2" xfId="9400" xr:uid="{00000000-0005-0000-0000-000069010000}"/>
    <cellStyle name="-_INFOTRIM0302_Base Apresentação_Base ITR Set-10 - Ajustes Resmat" xfId="6448" xr:uid="{00000000-0005-0000-0000-00006A010000}"/>
    <cellStyle name="-_INFOTRIM0302_Comparativo VP FIN v1_So 2008" xfId="6449" xr:uid="{00000000-0005-0000-0000-00006B010000}"/>
    <cellStyle name="-_INFOTRIM0302_Comparativo VP MKT 2008 v1_So 2008" xfId="6450" xr:uid="{00000000-0005-0000-0000-00006C010000}"/>
    <cellStyle name="-_INFOTRIM0302_Comparativo VP TEC 2008 v1_So 2008" xfId="6451" xr:uid="{00000000-0005-0000-0000-00006D010000}"/>
    <cellStyle name="-_INFOTRIM0302_Comparativo VP TEC 2008_Luiz Sergio" xfId="6452" xr:uid="{00000000-0005-0000-0000-00006E010000}"/>
    <cellStyle name="-_INFOTRIM0302_Cópia de Análise de contas IFRS 2009" xfId="9401" xr:uid="{00000000-0005-0000-0000-00006F010000}"/>
    <cellStyle name="-_INFOTRIM0302_Cópia de Modelo - Fluxo de Caixa Orcamento 09052009_V36_3" xfId="273" xr:uid="{00000000-0005-0000-0000-000070010000}"/>
    <cellStyle name="-_INFOTRIM0302_Fluxo de Caixa Orcamento FINAL_13052009" xfId="274" xr:uid="{00000000-0005-0000-0000-000071010000}"/>
    <cellStyle name="-_INFOTRIM0302_FM_dummyV4" xfId="275" xr:uid="{00000000-0005-0000-0000-000072010000}"/>
    <cellStyle name="-_INFOTRIM0302_lalur" xfId="276" xr:uid="{00000000-0005-0000-0000-000073010000}"/>
    <cellStyle name="-_INFOTRIM0302_LALUR VRG 31-10-2009" xfId="277" xr:uid="{00000000-0005-0000-0000-000074010000}"/>
    <cellStyle name="-_INFOTRIM0302_Leasing_V3" xfId="278" xr:uid="{00000000-0005-0000-0000-000075010000}"/>
    <cellStyle name="-_INFOTRIM0302_MODELO PDP III" xfId="279" xr:uid="{00000000-0005-0000-0000-000076010000}"/>
    <cellStyle name="-_INFOTRIM0302_ORÇ_2009" xfId="280" xr:uid="{00000000-0005-0000-0000-000077010000}"/>
    <cellStyle name="-_INFOTRIM0302_Pasta2" xfId="281" xr:uid="{00000000-0005-0000-0000-000078010000}"/>
    <cellStyle name="-_INFOTRIM0302_Prévia 1T10 Leo V3 18 04 10" xfId="9402" xr:uid="{00000000-0005-0000-0000-000079010000}"/>
    <cellStyle name="-_INFOTRIM0302_Resultados mensais - Arquivo base maio 2010" xfId="6453" xr:uid="{00000000-0005-0000-0000-00007A010000}"/>
    <cellStyle name="-_INFOTRIM0302_Resultados mensais - Arquivo base maio 2010 2" xfId="9403" xr:uid="{00000000-0005-0000-0000-00007B010000}"/>
    <cellStyle name="-_INFOTRIM0302_Resultados mensais - Arquivo base maio 2010_Base ITR Set-10 - Ajustes Resmat" xfId="6454" xr:uid="{00000000-0005-0000-0000-00007C010000}"/>
    <cellStyle name="-_INFOTRIM0302_Statement Sky - Finance" xfId="282" xr:uid="{00000000-0005-0000-0000-00007D010000}"/>
    <cellStyle name="-_INFOTRIM032001" xfId="283" xr:uid="{00000000-0005-0000-0000-00007E010000}"/>
    <cellStyle name="-_INFOTRIM032001_30.06.09 - Análise de contas IFRS" xfId="9404" xr:uid="{00000000-0005-0000-0000-00007F010000}"/>
    <cellStyle name="-_INFOTRIM032001_Base Apresentação" xfId="6455" xr:uid="{00000000-0005-0000-0000-000080010000}"/>
    <cellStyle name="-_INFOTRIM032001_Base Apresentação 2" xfId="9405" xr:uid="{00000000-0005-0000-0000-000081010000}"/>
    <cellStyle name="-_INFOTRIM032001_Base Apresentação_Base ITR Set-10 - Ajustes Resmat" xfId="6456" xr:uid="{00000000-0005-0000-0000-000082010000}"/>
    <cellStyle name="-_INFOTRIM032001_Comparativo VP FIN v1_So 2008" xfId="6457" xr:uid="{00000000-0005-0000-0000-000083010000}"/>
    <cellStyle name="-_INFOTRIM032001_Comparativo VP MKT 2008 v1_So 2008" xfId="6458" xr:uid="{00000000-0005-0000-0000-000084010000}"/>
    <cellStyle name="-_INFOTRIM032001_Comparativo VP TEC 2008 v1_So 2008" xfId="6459" xr:uid="{00000000-0005-0000-0000-000085010000}"/>
    <cellStyle name="-_INFOTRIM032001_Comparativo VP TEC 2008_Luiz Sergio" xfId="6460" xr:uid="{00000000-0005-0000-0000-000086010000}"/>
    <cellStyle name="-_INFOTRIM032001_Cópia de Análise de contas IFRS 2009" xfId="9406" xr:uid="{00000000-0005-0000-0000-000087010000}"/>
    <cellStyle name="-_INFOTRIM032001_Cópia de Modelo - Fluxo de Caixa Orcamento 09052009_V36_3" xfId="284" xr:uid="{00000000-0005-0000-0000-000088010000}"/>
    <cellStyle name="-_INFOTRIM032001_Fluxo de Caixa Orcamento FINAL_13052009" xfId="285" xr:uid="{00000000-0005-0000-0000-000089010000}"/>
    <cellStyle name="-_INFOTRIM032001_FM_dummyV4" xfId="286" xr:uid="{00000000-0005-0000-0000-00008A010000}"/>
    <cellStyle name="-_INFOTRIM032001_lalur" xfId="287" xr:uid="{00000000-0005-0000-0000-00008B010000}"/>
    <cellStyle name="-_INFOTRIM032001_LALUR VRG 31-10-2009" xfId="288" xr:uid="{00000000-0005-0000-0000-00008C010000}"/>
    <cellStyle name="-_INFOTRIM032001_Leasing_V3" xfId="289" xr:uid="{00000000-0005-0000-0000-00008D010000}"/>
    <cellStyle name="-_INFOTRIM032001_MODELO PDP III" xfId="290" xr:uid="{00000000-0005-0000-0000-00008E010000}"/>
    <cellStyle name="-_INFOTRIM032001_ORÇ_2009" xfId="291" xr:uid="{00000000-0005-0000-0000-00008F010000}"/>
    <cellStyle name="-_INFOTRIM032001_Pasta2" xfId="292" xr:uid="{00000000-0005-0000-0000-000090010000}"/>
    <cellStyle name="-_INFOTRIM032001_Prévia 1T10 Leo V3 18 04 10" xfId="9407" xr:uid="{00000000-0005-0000-0000-000091010000}"/>
    <cellStyle name="-_INFOTRIM032001_Resultados mensais - Arquivo base maio 2010" xfId="6461" xr:uid="{00000000-0005-0000-0000-000092010000}"/>
    <cellStyle name="-_INFOTRIM032001_Resultados mensais - Arquivo base maio 2010 2" xfId="9408" xr:uid="{00000000-0005-0000-0000-000093010000}"/>
    <cellStyle name="-_INFOTRIM032001_Resultados mensais - Arquivo base maio 2010_Base ITR Set-10 - Ajustes Resmat" xfId="6462" xr:uid="{00000000-0005-0000-0000-000094010000}"/>
    <cellStyle name="-_INFOTRIM032001_Statement Sky - Finance" xfId="293" xr:uid="{00000000-0005-0000-0000-000095010000}"/>
    <cellStyle name="-_lalur" xfId="294" xr:uid="{00000000-0005-0000-0000-000096010000}"/>
    <cellStyle name="-_LALUR VRG 31-10-2009" xfId="295" xr:uid="{00000000-0005-0000-0000-000097010000}"/>
    <cellStyle name="-_Leasing_V3" xfId="296" xr:uid="{00000000-0005-0000-0000-000098010000}"/>
    <cellStyle name="-_MODELO PDP III" xfId="297" xr:uid="{00000000-0005-0000-0000-000099010000}"/>
    <cellStyle name="_Mov  Combinho" xfId="298" xr:uid="{00000000-0005-0000-0000-00009A010000}"/>
    <cellStyle name="_Multiple" xfId="299" xr:uid="{00000000-0005-0000-0000-00009B010000}"/>
    <cellStyle name="_Multiple 2" xfId="300" xr:uid="{00000000-0005-0000-0000-00009C010000}"/>
    <cellStyle name="_Multiple_Book1" xfId="301" xr:uid="{00000000-0005-0000-0000-00009D010000}"/>
    <cellStyle name="_Multiple_Book1 2" xfId="6463" xr:uid="{00000000-0005-0000-0000-00009E010000}"/>
    <cellStyle name="_Multiple_DCF output" xfId="302" xr:uid="{00000000-0005-0000-0000-00009F010000}"/>
    <cellStyle name="_Multiple_DCF v01" xfId="303" xr:uid="{00000000-0005-0000-0000-0000A0010000}"/>
    <cellStyle name="_Multiple_Merger Plans v02" xfId="304" xr:uid="{00000000-0005-0000-0000-0000A1010000}"/>
    <cellStyle name="_Multiple_Merger Plans v02 2" xfId="6464" xr:uid="{00000000-0005-0000-0000-0000A2010000}"/>
    <cellStyle name="_Multiple_Revised Watermelon Financials - Pre and Post TWA" xfId="305" xr:uid="{00000000-0005-0000-0000-0000A3010000}"/>
    <cellStyle name="_Multiple_Revised Watermelon Financials - Pre and Post TWA 2" xfId="6465" xr:uid="{00000000-0005-0000-0000-0000A4010000}"/>
    <cellStyle name="_Multiple_vmatrix bb" xfId="306" xr:uid="{00000000-0005-0000-0000-0000A5010000}"/>
    <cellStyle name="_Multiple_vmatrix bb 2" xfId="6466" xr:uid="{00000000-0005-0000-0000-0000A6010000}"/>
    <cellStyle name="_Multiple_wacc bb final" xfId="307" xr:uid="{00000000-0005-0000-0000-0000A7010000}"/>
    <cellStyle name="_Multiple_wacc bb final 2" xfId="6467" xr:uid="{00000000-0005-0000-0000-0000A8010000}"/>
    <cellStyle name="_Multiple_Watermelon Financials - Pre and Post TWA" xfId="308" xr:uid="{00000000-0005-0000-0000-0000A9010000}"/>
    <cellStyle name="_Multiple_Watermelon Financials - Pre and Post TWA 2" xfId="6468" xr:uid="{00000000-0005-0000-0000-0000AA010000}"/>
    <cellStyle name="_MultipleSpace" xfId="309" xr:uid="{00000000-0005-0000-0000-0000AB010000}"/>
    <cellStyle name="_MultipleSpace 2" xfId="310" xr:uid="{00000000-0005-0000-0000-0000AC010000}"/>
    <cellStyle name="_MultipleSpace_Book1" xfId="311" xr:uid="{00000000-0005-0000-0000-0000AD010000}"/>
    <cellStyle name="_MultipleSpace_Book1 2" xfId="6469" xr:uid="{00000000-0005-0000-0000-0000AE010000}"/>
    <cellStyle name="_MultipleSpace_DCF output" xfId="312" xr:uid="{00000000-0005-0000-0000-0000AF010000}"/>
    <cellStyle name="_MultipleSpace_vmatrix bb" xfId="313" xr:uid="{00000000-0005-0000-0000-0000B0010000}"/>
    <cellStyle name="_MultipleSpace_vmatrix bb 2" xfId="6470" xr:uid="{00000000-0005-0000-0000-0000B1010000}"/>
    <cellStyle name="_MultipleSpace_wacc bb final" xfId="314" xr:uid="{00000000-0005-0000-0000-0000B2010000}"/>
    <cellStyle name="_MultipleSpace_wacc bb final 2" xfId="6471" xr:uid="{00000000-0005-0000-0000-0000B3010000}"/>
    <cellStyle name="-_ORÇ_2009" xfId="315" xr:uid="{00000000-0005-0000-0000-0000B4010000}"/>
    <cellStyle name="_Orçamento Fluxo Caixa_2007_Conselho_A15 SI 506" xfId="316" xr:uid="{00000000-0005-0000-0000-0000B5010000}"/>
    <cellStyle name="_Orçamento Fluxo Caixa_2007_Conselho_A15 SI 506_Capex Book 0808" xfId="317" xr:uid="{00000000-0005-0000-0000-0000B6010000}"/>
    <cellStyle name="_Orçamento Fluxo Caixa_2007_Conselho_A15 SI 506_Capex Book Out 08" xfId="318" xr:uid="{00000000-0005-0000-0000-0000B7010000}"/>
    <cellStyle name="_Orçamento Fluxo Caixa_2007_Conselho_A15 SI 506_Capex Jan_08" xfId="319" xr:uid="{00000000-0005-0000-0000-0000B8010000}"/>
    <cellStyle name="_Orçamento Fluxo Caixa_2007_Conselho_A15 SI 506_Capex Nov" xfId="320" xr:uid="{00000000-0005-0000-0000-0000B9010000}"/>
    <cellStyle name="_Orçamento Fluxo Caixa_2007_Conselho_A15 SI 506_cristina dre e capex" xfId="321" xr:uid="{00000000-0005-0000-0000-0000BA010000}"/>
    <cellStyle name="_Orçamento Fluxo Caixa_2007_Conselho_A15 SI 506_DRE" xfId="322" xr:uid="{00000000-0005-0000-0000-0000BB010000}"/>
    <cellStyle name="_Orçamento Fluxo Caixa_2007_Conselho_A15 SI 506_Res capex Set 2008" xfId="323" xr:uid="{00000000-0005-0000-0000-0000BC010000}"/>
    <cellStyle name="_Orçamento Fluxo Caixa_2007_Conselho_A6" xfId="324" xr:uid="{00000000-0005-0000-0000-0000BD010000}"/>
    <cellStyle name="_Orçamento Fluxo Caixa_2007_Conselho_A6_Capex Book 0808" xfId="325" xr:uid="{00000000-0005-0000-0000-0000BE010000}"/>
    <cellStyle name="_Orçamento Fluxo Caixa_2007_Conselho_A6_Capex Book Out 08" xfId="326" xr:uid="{00000000-0005-0000-0000-0000BF010000}"/>
    <cellStyle name="_Orçamento Fluxo Caixa_2007_Conselho_A6_Capex Jan_08" xfId="327" xr:uid="{00000000-0005-0000-0000-0000C0010000}"/>
    <cellStyle name="_Orçamento Fluxo Caixa_2007_Conselho_A6_Capex Nov" xfId="328" xr:uid="{00000000-0005-0000-0000-0000C1010000}"/>
    <cellStyle name="_Orçamento Fluxo Caixa_2007_Conselho_A6_cristina dre e capex" xfId="329" xr:uid="{00000000-0005-0000-0000-0000C2010000}"/>
    <cellStyle name="_Orçamento Fluxo Caixa_2007_Conselho_A6_DRE" xfId="330" xr:uid="{00000000-0005-0000-0000-0000C3010000}"/>
    <cellStyle name="_Orçamento Fluxo Caixa_2007_Conselho_A6_Res capex Set 2008" xfId="331" xr:uid="{00000000-0005-0000-0000-0000C4010000}"/>
    <cellStyle name="_Orçamento Fluxo Caixa_2007_Conselho_A8" xfId="332" xr:uid="{00000000-0005-0000-0000-0000C5010000}"/>
    <cellStyle name="_Orçamento Fluxo Caixa_2007_Conselho_A8_Capex Book 0808" xfId="333" xr:uid="{00000000-0005-0000-0000-0000C6010000}"/>
    <cellStyle name="_Orçamento Fluxo Caixa_2007_Conselho_A8_Capex Book Out 08" xfId="334" xr:uid="{00000000-0005-0000-0000-0000C7010000}"/>
    <cellStyle name="_Orçamento Fluxo Caixa_2007_Conselho_A8_Capex Jan_08" xfId="335" xr:uid="{00000000-0005-0000-0000-0000C8010000}"/>
    <cellStyle name="_Orçamento Fluxo Caixa_2007_Conselho_A8_Capex Nov" xfId="336" xr:uid="{00000000-0005-0000-0000-0000C9010000}"/>
    <cellStyle name="_Orçamento Fluxo Caixa_2007_Conselho_A8_cristina dre e capex" xfId="337" xr:uid="{00000000-0005-0000-0000-0000CA010000}"/>
    <cellStyle name="_Orçamento Fluxo Caixa_2007_Conselho_A8_DRE" xfId="338" xr:uid="{00000000-0005-0000-0000-0000CB010000}"/>
    <cellStyle name="_Orçamento Fluxo Caixa_2007_Conselho_A8_Res capex Set 2008" xfId="339" xr:uid="{00000000-0005-0000-0000-0000CC010000}"/>
    <cellStyle name="_Orçamento Fluxo Caixa_2007_Conselho_A9" xfId="340" xr:uid="{00000000-0005-0000-0000-0000CD010000}"/>
    <cellStyle name="_Pasta1 (10)" xfId="341" xr:uid="{00000000-0005-0000-0000-0000CE010000}"/>
    <cellStyle name="-_Pasta2" xfId="342" xr:uid="{00000000-0005-0000-0000-0000CF010000}"/>
    <cellStyle name="_Pasta2 (12)" xfId="343" xr:uid="{00000000-0005-0000-0000-0000D0010000}"/>
    <cellStyle name="_Pasta2 (7)" xfId="344" xr:uid="{00000000-0005-0000-0000-0000D1010000}"/>
    <cellStyle name="_Pasta21" xfId="345" xr:uid="{00000000-0005-0000-0000-0000D2010000}"/>
    <cellStyle name="_Pasta3 (4)" xfId="346" xr:uid="{00000000-0005-0000-0000-0000D3010000}"/>
    <cellStyle name="_Pasta4" xfId="347" xr:uid="{00000000-0005-0000-0000-0000D4010000}"/>
    <cellStyle name="_Percent" xfId="348" xr:uid="{00000000-0005-0000-0000-0000D5010000}"/>
    <cellStyle name="_Percent 2" xfId="349" xr:uid="{00000000-0005-0000-0000-0000D6010000}"/>
    <cellStyle name="_Percent_DCF output" xfId="350" xr:uid="{00000000-0005-0000-0000-0000D7010000}"/>
    <cellStyle name="_Percent_vmatrix bb" xfId="351" xr:uid="{00000000-0005-0000-0000-0000D8010000}"/>
    <cellStyle name="_Percent_wacc bb final" xfId="352" xr:uid="{00000000-0005-0000-0000-0000D9010000}"/>
    <cellStyle name="_Percent_wacc bb final 2" xfId="6472" xr:uid="{00000000-0005-0000-0000-0000DA010000}"/>
    <cellStyle name="_PercentSpace" xfId="353" xr:uid="{00000000-0005-0000-0000-0000DB010000}"/>
    <cellStyle name="_PercentSpace 2" xfId="6473" xr:uid="{00000000-0005-0000-0000-0000DC010000}"/>
    <cellStyle name="_PercentSpace_DCF output" xfId="354" xr:uid="{00000000-0005-0000-0000-0000DD010000}"/>
    <cellStyle name="_PercentSpace_vmatrix bb" xfId="355" xr:uid="{00000000-0005-0000-0000-0000DE010000}"/>
    <cellStyle name="_PercentSpace_vmatrix bb 2" xfId="6474" xr:uid="{00000000-0005-0000-0000-0000DF010000}"/>
    <cellStyle name="_PercentSpace_wacc bb final" xfId="356" xr:uid="{00000000-0005-0000-0000-0000E0010000}"/>
    <cellStyle name="_PercentSpace_wacc bb final 2" xfId="6475" xr:uid="{00000000-0005-0000-0000-0000E1010000}"/>
    <cellStyle name="_Posição Atual Hedge 2008" xfId="6476" xr:uid="{00000000-0005-0000-0000-0000E2010000}"/>
    <cellStyle name="_Posição Atual Hedge 2008__Posição Hedge USD OIL" xfId="6477" xr:uid="{00000000-0005-0000-0000-0000E3010000}"/>
    <cellStyle name="_Posição Atual Hedge 2008_Hedge Positions" xfId="6478" xr:uid="{00000000-0005-0000-0000-0000E4010000}"/>
    <cellStyle name="_Postergações para 2007 " xfId="357" xr:uid="{00000000-0005-0000-0000-0000E5010000}"/>
    <cellStyle name="-_Prévia 1T10 Leo V3 18 04 10" xfId="9409" xr:uid="{00000000-0005-0000-0000-0000E6010000}"/>
    <cellStyle name="_ProvisionamentoCC_Contax_set2007_S106S128S154S209 (3)" xfId="358" xr:uid="{00000000-0005-0000-0000-0000E7010000}"/>
    <cellStyle name="-_Resultados mensais - Arquivo base maio 2010" xfId="6479" xr:uid="{00000000-0005-0000-0000-0000E8010000}"/>
    <cellStyle name="-_Resultados mensais - Arquivo base maio 2010 2" xfId="9410" xr:uid="{00000000-0005-0000-0000-0000E9010000}"/>
    <cellStyle name="-_Resultados mensais - Arquivo base maio 2010_Base ITR Set-10 - Ajustes Resmat" xfId="6480" xr:uid="{00000000-0005-0000-0000-0000EA010000}"/>
    <cellStyle name="-_Statement Sky - Finance" xfId="359" xr:uid="{00000000-0005-0000-0000-0000EB010000}"/>
    <cellStyle name="_SubHeading" xfId="360" xr:uid="{00000000-0005-0000-0000-0000EC010000}"/>
    <cellStyle name="_SubHeading_DCF v01" xfId="361" xr:uid="{00000000-0005-0000-0000-0000ED010000}"/>
    <cellStyle name="_SubHeading_prestemp" xfId="362" xr:uid="{00000000-0005-0000-0000-0000EE010000}"/>
    <cellStyle name="_SubHeading_prestemp 2" xfId="363" xr:uid="{00000000-0005-0000-0000-0000EF010000}"/>
    <cellStyle name="_SubHeading_prestemp_Capex Book 0808" xfId="364" xr:uid="{00000000-0005-0000-0000-0000F0010000}"/>
    <cellStyle name="_SubHeading_prestemp_Capex Book Out 08" xfId="365" xr:uid="{00000000-0005-0000-0000-0000F1010000}"/>
    <cellStyle name="_SubHeading_prestemp_Capex Jan_08" xfId="366" xr:uid="{00000000-0005-0000-0000-0000F2010000}"/>
    <cellStyle name="_SubHeading_prestemp_Capex Nov" xfId="367" xr:uid="{00000000-0005-0000-0000-0000F3010000}"/>
    <cellStyle name="_SubHeading_prestemp_cristina dre e capex" xfId="368" xr:uid="{00000000-0005-0000-0000-0000F4010000}"/>
    <cellStyle name="_SubHeading_prestemp_DRE" xfId="369" xr:uid="{00000000-0005-0000-0000-0000F5010000}"/>
    <cellStyle name="_SubHeading_prestemp_Res capex Set 2008" xfId="370" xr:uid="{00000000-0005-0000-0000-0000F6010000}"/>
    <cellStyle name="_Table" xfId="371" xr:uid="{00000000-0005-0000-0000-0000F7010000}"/>
    <cellStyle name="_Table_Capex Book 0808" xfId="372" xr:uid="{00000000-0005-0000-0000-0000F8010000}"/>
    <cellStyle name="_Table_Capex Book 0808 2" xfId="373" xr:uid="{00000000-0005-0000-0000-0000F9010000}"/>
    <cellStyle name="_Table_Capex Book Out 08" xfId="374" xr:uid="{00000000-0005-0000-0000-0000FA010000}"/>
    <cellStyle name="_Table_Capex Book Out 08 2" xfId="375" xr:uid="{00000000-0005-0000-0000-0000FB010000}"/>
    <cellStyle name="_Table_Capex Jan_08" xfId="376" xr:uid="{00000000-0005-0000-0000-0000FC010000}"/>
    <cellStyle name="_Table_Capex Jan_08 2" xfId="377" xr:uid="{00000000-0005-0000-0000-0000FD010000}"/>
    <cellStyle name="_Table_Capex Nov" xfId="378" xr:uid="{00000000-0005-0000-0000-0000FE010000}"/>
    <cellStyle name="_Table_Capex Nov 2" xfId="379" xr:uid="{00000000-0005-0000-0000-0000FF010000}"/>
    <cellStyle name="_Table_cristina dre e capex" xfId="380" xr:uid="{00000000-0005-0000-0000-000000020000}"/>
    <cellStyle name="_Table_cristina dre e capex 2" xfId="381" xr:uid="{00000000-0005-0000-0000-000001020000}"/>
    <cellStyle name="_Table_DCF v01" xfId="382" xr:uid="{00000000-0005-0000-0000-000002020000}"/>
    <cellStyle name="_Table_DCF v01 2" xfId="6481" xr:uid="{00000000-0005-0000-0000-000003020000}"/>
    <cellStyle name="_Table_DCF v01_lalur" xfId="383" xr:uid="{00000000-0005-0000-0000-000004020000}"/>
    <cellStyle name="_Table_DCF v01_lalur 2" xfId="6482" xr:uid="{00000000-0005-0000-0000-000005020000}"/>
    <cellStyle name="_Table_DRE" xfId="384" xr:uid="{00000000-0005-0000-0000-000006020000}"/>
    <cellStyle name="_Table_DRE 2" xfId="385" xr:uid="{00000000-0005-0000-0000-000007020000}"/>
    <cellStyle name="_Table_Res capex Set 2008" xfId="386" xr:uid="{00000000-0005-0000-0000-000008020000}"/>
    <cellStyle name="_Table_Res capex Set 2008 2" xfId="387" xr:uid="{00000000-0005-0000-0000-000009020000}"/>
    <cellStyle name="_TableHead" xfId="388" xr:uid="{00000000-0005-0000-0000-00000A020000}"/>
    <cellStyle name="_TableHead_Capex Book 0808" xfId="389" xr:uid="{00000000-0005-0000-0000-00000B020000}"/>
    <cellStyle name="_TableHead_Capex Book Out 08" xfId="390" xr:uid="{00000000-0005-0000-0000-00000C020000}"/>
    <cellStyle name="_TableHead_Capex Jan_08" xfId="391" xr:uid="{00000000-0005-0000-0000-00000D020000}"/>
    <cellStyle name="_TableHead_Capex Nov" xfId="392" xr:uid="{00000000-0005-0000-0000-00000E020000}"/>
    <cellStyle name="_TableHead_cristina dre e capex" xfId="393" xr:uid="{00000000-0005-0000-0000-00000F020000}"/>
    <cellStyle name="_TableHead_DRE" xfId="394" xr:uid="{00000000-0005-0000-0000-000010020000}"/>
    <cellStyle name="_TableHead_lalur" xfId="395" xr:uid="{00000000-0005-0000-0000-000011020000}"/>
    <cellStyle name="_TableHead_Res capex Set 2008" xfId="396" xr:uid="{00000000-0005-0000-0000-000012020000}"/>
    <cellStyle name="_TableRowBorder" xfId="397" xr:uid="{00000000-0005-0000-0000-000013020000}"/>
    <cellStyle name="_TableRowBorder 2" xfId="6483" xr:uid="{00000000-0005-0000-0000-000014020000}"/>
    <cellStyle name="_TableRowBorder_lalur" xfId="398" xr:uid="{00000000-0005-0000-0000-000015020000}"/>
    <cellStyle name="_TableRowHead" xfId="399" xr:uid="{00000000-0005-0000-0000-000016020000}"/>
    <cellStyle name="_TableSuperHead" xfId="400" xr:uid="{00000000-0005-0000-0000-000017020000}"/>
    <cellStyle name="_TableSuperHead_DCF v01" xfId="401" xr:uid="{00000000-0005-0000-0000-000018020000}"/>
    <cellStyle name="_Tendência fluxo de caixa 31.01.2007_Modelo Folha" xfId="402" xr:uid="{00000000-0005-0000-0000-000019020000}"/>
    <cellStyle name="_Tendência saldo final de caixa dezembro 2006" xfId="403" xr:uid="{00000000-0005-0000-0000-00001A020000}"/>
    <cellStyle name="_Tendência saldo final de caixa dezembro 2006_A" xfId="404" xr:uid="{00000000-0005-0000-0000-00001B020000}"/>
    <cellStyle name="-_Usgaap1" xfId="405" xr:uid="{00000000-0005-0000-0000-00001C020000}"/>
    <cellStyle name="-_Usgaap1_30.06.09 - Análise de contas IFRS" xfId="9411" xr:uid="{00000000-0005-0000-0000-00001D020000}"/>
    <cellStyle name="-_Usgaap1_Base Apresentação" xfId="6484" xr:uid="{00000000-0005-0000-0000-00001E020000}"/>
    <cellStyle name="-_Usgaap1_Base Apresentação 2" xfId="9412" xr:uid="{00000000-0005-0000-0000-00001F020000}"/>
    <cellStyle name="-_Usgaap1_Base Apresentação_Base ITR Set-10 - Ajustes Resmat" xfId="6485" xr:uid="{00000000-0005-0000-0000-000020020000}"/>
    <cellStyle name="-_Usgaap1_Comparativo VP FIN v1_So 2008" xfId="6486" xr:uid="{00000000-0005-0000-0000-000021020000}"/>
    <cellStyle name="-_Usgaap1_Comparativo VP MKT 2008 v1_So 2008" xfId="6487" xr:uid="{00000000-0005-0000-0000-000022020000}"/>
    <cellStyle name="-_Usgaap1_Comparativo VP TEC 2008 v1_So 2008" xfId="6488" xr:uid="{00000000-0005-0000-0000-000023020000}"/>
    <cellStyle name="-_Usgaap1_Comparativo VP TEC 2008_Luiz Sergio" xfId="6489" xr:uid="{00000000-0005-0000-0000-000024020000}"/>
    <cellStyle name="-_Usgaap1_Cópia de Análise de contas IFRS 2009" xfId="9413" xr:uid="{00000000-0005-0000-0000-000025020000}"/>
    <cellStyle name="-_Usgaap1_Cópia de Modelo - Fluxo de Caixa Orcamento 09052009_V36_3" xfId="406" xr:uid="{00000000-0005-0000-0000-000026020000}"/>
    <cellStyle name="-_Usgaap1_Fluxo de Caixa Orcamento FINAL_13052009" xfId="407" xr:uid="{00000000-0005-0000-0000-000027020000}"/>
    <cellStyle name="-_Usgaap1_FM_dummyV4" xfId="408" xr:uid="{00000000-0005-0000-0000-000028020000}"/>
    <cellStyle name="-_Usgaap1_lalur" xfId="409" xr:uid="{00000000-0005-0000-0000-000029020000}"/>
    <cellStyle name="-_Usgaap1_LALUR VRG 31-10-2009" xfId="410" xr:uid="{00000000-0005-0000-0000-00002A020000}"/>
    <cellStyle name="-_Usgaap1_Leasing_V3" xfId="411" xr:uid="{00000000-0005-0000-0000-00002B020000}"/>
    <cellStyle name="-_Usgaap1_MODELO PDP III" xfId="412" xr:uid="{00000000-0005-0000-0000-00002C020000}"/>
    <cellStyle name="-_Usgaap1_ORÇ_2009" xfId="413" xr:uid="{00000000-0005-0000-0000-00002D020000}"/>
    <cellStyle name="-_Usgaap1_Pasta2" xfId="414" xr:uid="{00000000-0005-0000-0000-00002E020000}"/>
    <cellStyle name="-_Usgaap1_Prévia 1T10 Leo V3 18 04 10" xfId="9414" xr:uid="{00000000-0005-0000-0000-00002F020000}"/>
    <cellStyle name="-_Usgaap1_Resultados mensais - Arquivo base maio 2010" xfId="6490" xr:uid="{00000000-0005-0000-0000-000030020000}"/>
    <cellStyle name="-_Usgaap1_Resultados mensais - Arquivo base maio 2010 2" xfId="9415" xr:uid="{00000000-0005-0000-0000-000031020000}"/>
    <cellStyle name="-_Usgaap1_Resultados mensais - Arquivo base maio 2010_Base ITR Set-10 - Ajustes Resmat" xfId="6491" xr:uid="{00000000-0005-0000-0000-000032020000}"/>
    <cellStyle name="-_Usgaap1_Statement Sky - Finance" xfId="415" xr:uid="{00000000-0005-0000-0000-000033020000}"/>
    <cellStyle name="_Variação capital de giro 2006" xfId="416" xr:uid="{00000000-0005-0000-0000-000034020000}"/>
    <cellStyle name="_WTIaverage" xfId="6492" xr:uid="{00000000-0005-0000-0000-000035020000}"/>
    <cellStyle name="_WTIaverage__Posição Hedge USD OIL" xfId="6493" xr:uid="{00000000-0005-0000-0000-000036020000}"/>
    <cellStyle name="_WTIaverage_Hedge Positions" xfId="6494" xr:uid="{00000000-0005-0000-0000-000037020000}"/>
    <cellStyle name="’Ê‰Ý [0.00]_GE 3 MINIMUM" xfId="417" xr:uid="{00000000-0005-0000-0000-000038020000}"/>
    <cellStyle name="’Ê‰Ý_GE 3 MINIMUM" xfId="418" xr:uid="{00000000-0005-0000-0000-000039020000}"/>
    <cellStyle name="£ BP" xfId="419" xr:uid="{00000000-0005-0000-0000-00003A020000}"/>
    <cellStyle name="£0" xfId="420" xr:uid="{00000000-0005-0000-0000-00003B020000}"/>
    <cellStyle name="£1" xfId="421" xr:uid="{00000000-0005-0000-0000-00003C020000}"/>
    <cellStyle name="£2" xfId="422" xr:uid="{00000000-0005-0000-0000-00003D020000}"/>
    <cellStyle name="¥ JY" xfId="423" xr:uid="{00000000-0005-0000-0000-00003E020000}"/>
    <cellStyle name="=C:\WINNT\SYSTEM32\COMMAND.COM" xfId="424" xr:uid="{00000000-0005-0000-0000-00003F020000}"/>
    <cellStyle name="=D:\WINNT\SYSTEM32\COMMAND.COM" xfId="6495" xr:uid="{00000000-0005-0000-0000-000040020000}"/>
    <cellStyle name="•W€_GE 3 MINIMUM" xfId="425" xr:uid="{00000000-0005-0000-0000-000041020000}"/>
    <cellStyle name="•W_GE 3 MINIMUM" xfId="426" xr:uid="{00000000-0005-0000-0000-000042020000}"/>
    <cellStyle name="0" xfId="427" xr:uid="{00000000-0005-0000-0000-000043020000}"/>
    <cellStyle name="0%" xfId="428" xr:uid="{00000000-0005-0000-0000-000044020000}"/>
    <cellStyle name="0% 2" xfId="6496" xr:uid="{00000000-0005-0000-0000-000045020000}"/>
    <cellStyle name="0,0_x000d__x000a_NA_x000d__x000a_" xfId="429" xr:uid="{00000000-0005-0000-0000-000046020000}"/>
    <cellStyle name="0,0_x000d__x000a_NA_x000d__x000a_ 2" xfId="430" xr:uid="{00000000-0005-0000-0000-000047020000}"/>
    <cellStyle name="0,0_x000d__x000a_NA_x000d__x000a__EC NET-EBT Abr09 Ref Mar09 - 15-Abr-09_v3" xfId="431" xr:uid="{00000000-0005-0000-0000-000048020000}"/>
    <cellStyle name="0.0" xfId="432" xr:uid="{00000000-0005-0000-0000-000049020000}"/>
    <cellStyle name="0.0%" xfId="433" xr:uid="{00000000-0005-0000-0000-00004A020000}"/>
    <cellStyle name="0.0_Comparativo VP FIN v1_So 2008" xfId="6497" xr:uid="{00000000-0005-0000-0000-00004B020000}"/>
    <cellStyle name="0.00" xfId="434" xr:uid="{00000000-0005-0000-0000-00004C020000}"/>
    <cellStyle name="0.00%" xfId="435" xr:uid="{00000000-0005-0000-0000-00004D020000}"/>
    <cellStyle name="0.00_Comparativo VP FIN v1_So 2008" xfId="6498" xr:uid="{00000000-0005-0000-0000-00004E020000}"/>
    <cellStyle name="0.0x" xfId="436" xr:uid="{00000000-0005-0000-0000-00004F020000}"/>
    <cellStyle name="0_chrw 10-29-02" xfId="437" xr:uid="{00000000-0005-0000-0000-000050020000}"/>
    <cellStyle name="0_chrw 10-29-02_Comparativo VP FIN v1_So 2008" xfId="6499" xr:uid="{00000000-0005-0000-0000-000051020000}"/>
    <cellStyle name="0_chrw 10-29-02_Comparativo VP MKT 2008 v1_So 2008" xfId="6500" xr:uid="{00000000-0005-0000-0000-000052020000}"/>
    <cellStyle name="0_chrw 10-29-02_Comparativo VP TEC 2008 v1_So 2008" xfId="6501" xr:uid="{00000000-0005-0000-0000-000053020000}"/>
    <cellStyle name="0_chrw 10-29-02_Comparativo VP TEC 2008_Luiz Sergio" xfId="6502" xr:uid="{00000000-0005-0000-0000-000054020000}"/>
    <cellStyle name="0_chrw 10-29-02_Cópia de Modelo - Fluxo de Caixa Orcamento 09052009_V36_3" xfId="438" xr:uid="{00000000-0005-0000-0000-000055020000}"/>
    <cellStyle name="0_chrw 10-29-02_Fluxo de Caixa Orcamento FINAL_13052009" xfId="439" xr:uid="{00000000-0005-0000-0000-000056020000}"/>
    <cellStyle name="0_chrw 10-29-02_FM_dummyV4" xfId="440" xr:uid="{00000000-0005-0000-0000-000057020000}"/>
    <cellStyle name="0_chrw 10-29-02_lalur" xfId="441" xr:uid="{00000000-0005-0000-0000-000058020000}"/>
    <cellStyle name="0_chrw 10-29-02_Leasing_V3" xfId="442" xr:uid="{00000000-0005-0000-0000-000059020000}"/>
    <cellStyle name="0_chrw 10-29-02_MODELO PDP III" xfId="443" xr:uid="{00000000-0005-0000-0000-00005A020000}"/>
    <cellStyle name="0_chrw 10-29-02_ORÇ_2009" xfId="444" xr:uid="{00000000-0005-0000-0000-00005B020000}"/>
    <cellStyle name="0_chrw 10-29-02_Pasta2" xfId="445" xr:uid="{00000000-0005-0000-0000-00005C020000}"/>
    <cellStyle name="0_Comparativo VP FIN v1_So 2008" xfId="6503" xr:uid="{00000000-0005-0000-0000-00005D020000}"/>
    <cellStyle name="0_Comparativo VP MKT 2008 v1_So 2008" xfId="6504" xr:uid="{00000000-0005-0000-0000-00005E020000}"/>
    <cellStyle name="0_Comparativo VP TEC 2008 v1_So 2008" xfId="6505" xr:uid="{00000000-0005-0000-0000-00005F020000}"/>
    <cellStyle name="0_Comparativo VP TEC 2008_Luiz Sergio" xfId="6506" xr:uid="{00000000-0005-0000-0000-000060020000}"/>
    <cellStyle name="0_Cópia de Modelo - Fluxo de Caixa Orcamento 09052009_V36_3" xfId="446" xr:uid="{00000000-0005-0000-0000-000061020000}"/>
    <cellStyle name="0_Fluxo de Caixa Orcamento FINAL_13052009" xfId="447" xr:uid="{00000000-0005-0000-0000-000062020000}"/>
    <cellStyle name="0_FM_dummyV4" xfId="448" xr:uid="{00000000-0005-0000-0000-000063020000}"/>
    <cellStyle name="0_lalur" xfId="449" xr:uid="{00000000-0005-0000-0000-000064020000}"/>
    <cellStyle name="0_Leasing_V3" xfId="450" xr:uid="{00000000-0005-0000-0000-000065020000}"/>
    <cellStyle name="0_MODELO PDP III" xfId="451" xr:uid="{00000000-0005-0000-0000-000066020000}"/>
    <cellStyle name="0_ORÇ_2009" xfId="452" xr:uid="{00000000-0005-0000-0000-000067020000}"/>
    <cellStyle name="0_Pasta2" xfId="453" xr:uid="{00000000-0005-0000-0000-000068020000}"/>
    <cellStyle name="0_Q2 pipeline" xfId="454" xr:uid="{00000000-0005-0000-0000-000069020000}"/>
    <cellStyle name="0_Q2 pipeline 2" xfId="6507" xr:uid="{00000000-0005-0000-0000-00006A020000}"/>
    <cellStyle name="0_Q2 pipeline_Cópia de Modelo - Fluxo de Caixa Orcamento 09052009_V36_3" xfId="455" xr:uid="{00000000-0005-0000-0000-00006B020000}"/>
    <cellStyle name="0_Q2 pipeline_Cópia de Modelo - Fluxo de Caixa Orcamento 09052009_V36_3 2" xfId="6508" xr:uid="{00000000-0005-0000-0000-00006C020000}"/>
    <cellStyle name="0_Q2 pipeline_Fluxo de Caixa Orcamento FINAL_13052009" xfId="456" xr:uid="{00000000-0005-0000-0000-00006D020000}"/>
    <cellStyle name="0_Q2 pipeline_Fluxo de Caixa Orcamento FINAL_13052009 2" xfId="6509" xr:uid="{00000000-0005-0000-0000-00006E020000}"/>
    <cellStyle name="0_Q2 pipeline_FM_dummyV4" xfId="457" xr:uid="{00000000-0005-0000-0000-00006F020000}"/>
    <cellStyle name="0_Q2 pipeline_lalur" xfId="458" xr:uid="{00000000-0005-0000-0000-000070020000}"/>
    <cellStyle name="0_Q2 pipeline_Leasing_V3" xfId="459" xr:uid="{00000000-0005-0000-0000-000071020000}"/>
    <cellStyle name="0_Q2 pipeline_MODELO PDP III" xfId="460" xr:uid="{00000000-0005-0000-0000-000072020000}"/>
    <cellStyle name="0_Q2 pipeline_ORÇ_2009" xfId="461" xr:uid="{00000000-0005-0000-0000-000073020000}"/>
    <cellStyle name="0_Q2 pipeline_ORÇ_2009 2" xfId="6510" xr:uid="{00000000-0005-0000-0000-000074020000}"/>
    <cellStyle name="0_Q2 pipeline_Pasta2" xfId="462" xr:uid="{00000000-0005-0000-0000-000075020000}"/>
    <cellStyle name="0_Q2 pipeline_Pasta2 2" xfId="6511" xr:uid="{00000000-0005-0000-0000-000076020000}"/>
    <cellStyle name="0000" xfId="463" xr:uid="{00000000-0005-0000-0000-000077020000}"/>
    <cellStyle name="0000 2" xfId="464" xr:uid="{00000000-0005-0000-0000-000078020000}"/>
    <cellStyle name="0000_INFO" xfId="465" xr:uid="{00000000-0005-0000-0000-000079020000}"/>
    <cellStyle name="000000" xfId="466" xr:uid="{00000000-0005-0000-0000-00007A020000}"/>
    <cellStyle name="000000 2" xfId="467" xr:uid="{00000000-0005-0000-0000-00007B020000}"/>
    <cellStyle name="000000_INFO" xfId="468" xr:uid="{00000000-0005-0000-0000-00007C020000}"/>
    <cellStyle name="1" xfId="6512" xr:uid="{00000000-0005-0000-0000-00007D020000}"/>
    <cellStyle name="1 2" xfId="6513" xr:uid="{00000000-0005-0000-0000-00007E020000}"/>
    <cellStyle name="1_RK Pay tv MM ABC 18a34 Progrmas prime" xfId="6514" xr:uid="{00000000-0005-0000-0000-00007F020000}"/>
    <cellStyle name="1_RK Pay tv MM ABC 18a34 Progrmas tt" xfId="6515" xr:uid="{00000000-0005-0000-0000-000080020000}"/>
    <cellStyle name="10" xfId="6516" xr:uid="{00000000-0005-0000-0000-000081020000}"/>
    <cellStyle name="10 2" xfId="6517" xr:uid="{00000000-0005-0000-0000-000082020000}"/>
    <cellStyle name="11" xfId="6518" xr:uid="{00000000-0005-0000-0000-000083020000}"/>
    <cellStyle name="11 2" xfId="6519" xr:uid="{00000000-0005-0000-0000-000084020000}"/>
    <cellStyle name="12" xfId="6520" xr:uid="{00000000-0005-0000-0000-000085020000}"/>
    <cellStyle name="12 2" xfId="6521" xr:uid="{00000000-0005-0000-0000-000086020000}"/>
    <cellStyle name="13" xfId="6522" xr:uid="{00000000-0005-0000-0000-000087020000}"/>
    <cellStyle name="13 2" xfId="6523" xr:uid="{00000000-0005-0000-0000-000088020000}"/>
    <cellStyle name="14" xfId="6524" xr:uid="{00000000-0005-0000-0000-000089020000}"/>
    <cellStyle name="14 2" xfId="6525" xr:uid="{00000000-0005-0000-0000-00008A020000}"/>
    <cellStyle name="15" xfId="6526" xr:uid="{00000000-0005-0000-0000-00008B020000}"/>
    <cellStyle name="15 2" xfId="6527" xr:uid="{00000000-0005-0000-0000-00008C020000}"/>
    <cellStyle name="16" xfId="6528" xr:uid="{00000000-0005-0000-0000-00008D020000}"/>
    <cellStyle name="16 2" xfId="6529" xr:uid="{00000000-0005-0000-0000-00008E020000}"/>
    <cellStyle name="17" xfId="6530" xr:uid="{00000000-0005-0000-0000-00008F020000}"/>
    <cellStyle name="17 2" xfId="6531" xr:uid="{00000000-0005-0000-0000-000090020000}"/>
    <cellStyle name="18" xfId="6532" xr:uid="{00000000-0005-0000-0000-000091020000}"/>
    <cellStyle name="18 2" xfId="6533" xr:uid="{00000000-0005-0000-0000-000092020000}"/>
    <cellStyle name="19" xfId="6534" xr:uid="{00000000-0005-0000-0000-000093020000}"/>
    <cellStyle name="19 2" xfId="6535" xr:uid="{00000000-0005-0000-0000-000094020000}"/>
    <cellStyle name="1DEC%" xfId="469" xr:uid="{00000000-0005-0000-0000-000095020000}"/>
    <cellStyle name="1o.nível" xfId="470" xr:uid="{00000000-0005-0000-0000-000096020000}"/>
    <cellStyle name="2" xfId="6536" xr:uid="{00000000-0005-0000-0000-000097020000}"/>
    <cellStyle name="2 2" xfId="6537" xr:uid="{00000000-0005-0000-0000-000098020000}"/>
    <cellStyle name="20" xfId="6538" xr:uid="{00000000-0005-0000-0000-000099020000}"/>
    <cellStyle name="20 2" xfId="6539" xr:uid="{00000000-0005-0000-0000-00009A020000}"/>
    <cellStyle name="20% - Accent1" xfId="471" xr:uid="{00000000-0005-0000-0000-00009B020000}"/>
    <cellStyle name="20% - Accent1 2" xfId="472" xr:uid="{00000000-0005-0000-0000-00009C020000}"/>
    <cellStyle name="20% - Accent2" xfId="473" xr:uid="{00000000-0005-0000-0000-00009D020000}"/>
    <cellStyle name="20% - Accent2 2" xfId="474" xr:uid="{00000000-0005-0000-0000-00009E020000}"/>
    <cellStyle name="20% - Accent3" xfId="475" xr:uid="{00000000-0005-0000-0000-00009F020000}"/>
    <cellStyle name="20% - Accent3 2" xfId="476" xr:uid="{00000000-0005-0000-0000-0000A0020000}"/>
    <cellStyle name="20% - Accent4" xfId="477" xr:uid="{00000000-0005-0000-0000-0000A1020000}"/>
    <cellStyle name="20% - Accent4 2" xfId="478" xr:uid="{00000000-0005-0000-0000-0000A2020000}"/>
    <cellStyle name="20% - Accent5" xfId="479" xr:uid="{00000000-0005-0000-0000-0000A3020000}"/>
    <cellStyle name="20% - Accent5 2" xfId="480" xr:uid="{00000000-0005-0000-0000-0000A4020000}"/>
    <cellStyle name="20% - Accent6" xfId="481" xr:uid="{00000000-0005-0000-0000-0000A5020000}"/>
    <cellStyle name="20% - Accent6 2" xfId="482" xr:uid="{00000000-0005-0000-0000-0000A6020000}"/>
    <cellStyle name="20% - Ênfase1 2" xfId="4" xr:uid="{00000000-0005-0000-0000-0000A7020000}"/>
    <cellStyle name="20% - Ênfase1 3" xfId="6540" xr:uid="{00000000-0005-0000-0000-0000A8020000}"/>
    <cellStyle name="20% - Ênfase1 4" xfId="6541" xr:uid="{00000000-0005-0000-0000-0000A9020000}"/>
    <cellStyle name="20% - Ênfase1 5" xfId="9416" xr:uid="{00000000-0005-0000-0000-0000AA020000}"/>
    <cellStyle name="20% - Ênfase1 6" xfId="9417" xr:uid="{00000000-0005-0000-0000-0000AB020000}"/>
    <cellStyle name="20% - Ênfase1 7" xfId="9418" xr:uid="{00000000-0005-0000-0000-0000AC020000}"/>
    <cellStyle name="20% - Ênfase1 8" xfId="6259" xr:uid="{00000000-0005-0000-0000-0000AD020000}"/>
    <cellStyle name="20% - Ênfase1 8 2" xfId="9499" xr:uid="{00000000-0005-0000-0000-0000AE020000}"/>
    <cellStyle name="20% - Ênfase2 2" xfId="5" xr:uid="{00000000-0005-0000-0000-0000AF020000}"/>
    <cellStyle name="20% - Ênfase2 3" xfId="6542" xr:uid="{00000000-0005-0000-0000-0000B0020000}"/>
    <cellStyle name="20% - Ênfase2 4" xfId="6543" xr:uid="{00000000-0005-0000-0000-0000B1020000}"/>
    <cellStyle name="20% - Ênfase2 5" xfId="9419" xr:uid="{00000000-0005-0000-0000-0000B2020000}"/>
    <cellStyle name="20% - Ênfase2 6" xfId="9420" xr:uid="{00000000-0005-0000-0000-0000B3020000}"/>
    <cellStyle name="20% - Ênfase2 7" xfId="9421" xr:uid="{00000000-0005-0000-0000-0000B4020000}"/>
    <cellStyle name="20% - Ênfase2 8" xfId="6263" xr:uid="{00000000-0005-0000-0000-0000B5020000}"/>
    <cellStyle name="20% - Ênfase2 8 2" xfId="9500" xr:uid="{00000000-0005-0000-0000-0000B6020000}"/>
    <cellStyle name="20% - Ênfase3 2" xfId="6" xr:uid="{00000000-0005-0000-0000-0000B7020000}"/>
    <cellStyle name="20% - Ênfase3 3" xfId="6544" xr:uid="{00000000-0005-0000-0000-0000B8020000}"/>
    <cellStyle name="20% - Ênfase3 4" xfId="6545" xr:uid="{00000000-0005-0000-0000-0000B9020000}"/>
    <cellStyle name="20% - Ênfase3 5" xfId="9422" xr:uid="{00000000-0005-0000-0000-0000BA020000}"/>
    <cellStyle name="20% - Ênfase3 6" xfId="9423" xr:uid="{00000000-0005-0000-0000-0000BB020000}"/>
    <cellStyle name="20% - Ênfase3 7" xfId="9424" xr:uid="{00000000-0005-0000-0000-0000BC020000}"/>
    <cellStyle name="20% - Ênfase3 8" xfId="6267" xr:uid="{00000000-0005-0000-0000-0000BD020000}"/>
    <cellStyle name="20% - Ênfase3 8 2" xfId="9501" xr:uid="{00000000-0005-0000-0000-0000BE020000}"/>
    <cellStyle name="20% - Ênfase4 2" xfId="7" xr:uid="{00000000-0005-0000-0000-0000BF020000}"/>
    <cellStyle name="20% - Ênfase4 3" xfId="6546" xr:uid="{00000000-0005-0000-0000-0000C0020000}"/>
    <cellStyle name="20% - Ênfase4 4" xfId="6547" xr:uid="{00000000-0005-0000-0000-0000C1020000}"/>
    <cellStyle name="20% - Ênfase4 5" xfId="9425" xr:uid="{00000000-0005-0000-0000-0000C2020000}"/>
    <cellStyle name="20% - Ênfase4 6" xfId="9426" xr:uid="{00000000-0005-0000-0000-0000C3020000}"/>
    <cellStyle name="20% - Ênfase4 7" xfId="9427" xr:uid="{00000000-0005-0000-0000-0000C4020000}"/>
    <cellStyle name="20% - Ênfase4 8" xfId="6271" xr:uid="{00000000-0005-0000-0000-0000C5020000}"/>
    <cellStyle name="20% - Ênfase4 8 2" xfId="9502" xr:uid="{00000000-0005-0000-0000-0000C6020000}"/>
    <cellStyle name="20% - Ênfase5 2" xfId="8" xr:uid="{00000000-0005-0000-0000-0000C7020000}"/>
    <cellStyle name="20% - Ênfase5 3" xfId="6548" xr:uid="{00000000-0005-0000-0000-0000C8020000}"/>
    <cellStyle name="20% - Ênfase5 4" xfId="6549" xr:uid="{00000000-0005-0000-0000-0000C9020000}"/>
    <cellStyle name="20% - Ênfase5 5" xfId="9428" xr:uid="{00000000-0005-0000-0000-0000CA020000}"/>
    <cellStyle name="20% - Ênfase5 6" xfId="9429" xr:uid="{00000000-0005-0000-0000-0000CB020000}"/>
    <cellStyle name="20% - Ênfase5 7" xfId="9430" xr:uid="{00000000-0005-0000-0000-0000CC020000}"/>
    <cellStyle name="20% - Ênfase5 8" xfId="6275" xr:uid="{00000000-0005-0000-0000-0000CD020000}"/>
    <cellStyle name="20% - Ênfase5 8 2" xfId="9503" xr:uid="{00000000-0005-0000-0000-0000CE020000}"/>
    <cellStyle name="20% - Ênfase6 2" xfId="9" xr:uid="{00000000-0005-0000-0000-0000CF020000}"/>
    <cellStyle name="20% - Ênfase6 3" xfId="6550" xr:uid="{00000000-0005-0000-0000-0000D0020000}"/>
    <cellStyle name="20% - Ênfase6 4" xfId="6551" xr:uid="{00000000-0005-0000-0000-0000D1020000}"/>
    <cellStyle name="20% - Ênfase6 5" xfId="9431" xr:uid="{00000000-0005-0000-0000-0000D2020000}"/>
    <cellStyle name="20% - Ênfase6 6" xfId="9432" xr:uid="{00000000-0005-0000-0000-0000D3020000}"/>
    <cellStyle name="20% - Ênfase6 7" xfId="9433" xr:uid="{00000000-0005-0000-0000-0000D4020000}"/>
    <cellStyle name="20% - Ênfase6 8" xfId="6279" xr:uid="{00000000-0005-0000-0000-0000D5020000}"/>
    <cellStyle name="20% - Ênfase6 8 2" xfId="9504" xr:uid="{00000000-0005-0000-0000-0000D6020000}"/>
    <cellStyle name="21" xfId="6552" xr:uid="{00000000-0005-0000-0000-0000D7020000}"/>
    <cellStyle name="21 2" xfId="6553" xr:uid="{00000000-0005-0000-0000-0000D8020000}"/>
    <cellStyle name="22" xfId="6554" xr:uid="{00000000-0005-0000-0000-0000D9020000}"/>
    <cellStyle name="22 2" xfId="6555" xr:uid="{00000000-0005-0000-0000-0000DA020000}"/>
    <cellStyle name="23" xfId="6556" xr:uid="{00000000-0005-0000-0000-0000DB020000}"/>
    <cellStyle name="23 2" xfId="6557" xr:uid="{00000000-0005-0000-0000-0000DC020000}"/>
    <cellStyle name="23 3" xfId="6558" xr:uid="{00000000-0005-0000-0000-0000DD020000}"/>
    <cellStyle name="24" xfId="6559" xr:uid="{00000000-0005-0000-0000-0000DE020000}"/>
    <cellStyle name="24 2" xfId="6560" xr:uid="{00000000-0005-0000-0000-0000DF020000}"/>
    <cellStyle name="25" xfId="6561" xr:uid="{00000000-0005-0000-0000-0000E0020000}"/>
    <cellStyle name="25 2" xfId="6562" xr:uid="{00000000-0005-0000-0000-0000E1020000}"/>
    <cellStyle name="26" xfId="6563" xr:uid="{00000000-0005-0000-0000-0000E2020000}"/>
    <cellStyle name="26 2" xfId="6564" xr:uid="{00000000-0005-0000-0000-0000E3020000}"/>
    <cellStyle name="27" xfId="6565" xr:uid="{00000000-0005-0000-0000-0000E4020000}"/>
    <cellStyle name="27 2" xfId="6566" xr:uid="{00000000-0005-0000-0000-0000E5020000}"/>
    <cellStyle name="28" xfId="6567" xr:uid="{00000000-0005-0000-0000-0000E6020000}"/>
    <cellStyle name="28 2" xfId="6568" xr:uid="{00000000-0005-0000-0000-0000E7020000}"/>
    <cellStyle name="29" xfId="6569" xr:uid="{00000000-0005-0000-0000-0000E8020000}"/>
    <cellStyle name="29 2" xfId="6570" xr:uid="{00000000-0005-0000-0000-0000E9020000}"/>
    <cellStyle name="2line" xfId="6571" xr:uid="{00000000-0005-0000-0000-0000EA020000}"/>
    <cellStyle name="2o.nível" xfId="483" xr:uid="{00000000-0005-0000-0000-0000EB020000}"/>
    <cellStyle name="3" xfId="6572" xr:uid="{00000000-0005-0000-0000-0000EC020000}"/>
    <cellStyle name="3 2" xfId="6573" xr:uid="{00000000-0005-0000-0000-0000ED020000}"/>
    <cellStyle name="30" xfId="6574" xr:uid="{00000000-0005-0000-0000-0000EE020000}"/>
    <cellStyle name="30 2" xfId="6575" xr:uid="{00000000-0005-0000-0000-0000EF020000}"/>
    <cellStyle name="31" xfId="6576" xr:uid="{00000000-0005-0000-0000-0000F0020000}"/>
    <cellStyle name="31 2" xfId="6577" xr:uid="{00000000-0005-0000-0000-0000F1020000}"/>
    <cellStyle name="32" xfId="6578" xr:uid="{00000000-0005-0000-0000-0000F2020000}"/>
    <cellStyle name="32 2" xfId="6579" xr:uid="{00000000-0005-0000-0000-0000F3020000}"/>
    <cellStyle name="33" xfId="6580" xr:uid="{00000000-0005-0000-0000-0000F4020000}"/>
    <cellStyle name="33 2" xfId="6581" xr:uid="{00000000-0005-0000-0000-0000F5020000}"/>
    <cellStyle name="34" xfId="6582" xr:uid="{00000000-0005-0000-0000-0000F6020000}"/>
    <cellStyle name="34 2" xfId="6583" xr:uid="{00000000-0005-0000-0000-0000F7020000}"/>
    <cellStyle name="35" xfId="6584" xr:uid="{00000000-0005-0000-0000-0000F8020000}"/>
    <cellStyle name="35 2" xfId="6585" xr:uid="{00000000-0005-0000-0000-0000F9020000}"/>
    <cellStyle name="36" xfId="6586" xr:uid="{00000000-0005-0000-0000-0000FA020000}"/>
    <cellStyle name="36 2" xfId="6587" xr:uid="{00000000-0005-0000-0000-0000FB020000}"/>
    <cellStyle name="38" xfId="484" xr:uid="{00000000-0005-0000-0000-0000FC020000}"/>
    <cellStyle name="3DEC" xfId="485" xr:uid="{00000000-0005-0000-0000-0000FD020000}"/>
    <cellStyle name="4" xfId="6588" xr:uid="{00000000-0005-0000-0000-0000FE020000}"/>
    <cellStyle name="4 2" xfId="6589" xr:uid="{00000000-0005-0000-0000-0000FF020000}"/>
    <cellStyle name="40% - Accent1" xfId="486" xr:uid="{00000000-0005-0000-0000-000000030000}"/>
    <cellStyle name="40% - Accent1 2" xfId="487" xr:uid="{00000000-0005-0000-0000-000001030000}"/>
    <cellStyle name="40% - Accent2" xfId="488" xr:uid="{00000000-0005-0000-0000-000002030000}"/>
    <cellStyle name="40% - Accent2 2" xfId="489" xr:uid="{00000000-0005-0000-0000-000003030000}"/>
    <cellStyle name="40% - Accent3" xfId="490" xr:uid="{00000000-0005-0000-0000-000004030000}"/>
    <cellStyle name="40% - Accent3 2" xfId="491" xr:uid="{00000000-0005-0000-0000-000005030000}"/>
    <cellStyle name="40% - Accent4" xfId="492" xr:uid="{00000000-0005-0000-0000-000006030000}"/>
    <cellStyle name="40% - Accent4 2" xfId="493" xr:uid="{00000000-0005-0000-0000-000007030000}"/>
    <cellStyle name="40% - Accent5" xfId="494" xr:uid="{00000000-0005-0000-0000-000008030000}"/>
    <cellStyle name="40% - Accent5 2" xfId="495" xr:uid="{00000000-0005-0000-0000-000009030000}"/>
    <cellStyle name="40% - Accent6" xfId="496" xr:uid="{00000000-0005-0000-0000-00000A030000}"/>
    <cellStyle name="40% - Accent6 2" xfId="497" xr:uid="{00000000-0005-0000-0000-00000B030000}"/>
    <cellStyle name="40% - Ênfase1 2" xfId="10" xr:uid="{00000000-0005-0000-0000-00000C030000}"/>
    <cellStyle name="40% - Ênfase1 2 2" xfId="9434" xr:uid="{00000000-0005-0000-0000-00000D030000}"/>
    <cellStyle name="40% - Ênfase1 2 2 2" xfId="9505" xr:uid="{00000000-0005-0000-0000-00000E030000}"/>
    <cellStyle name="40% - Ênfase1 3" xfId="6590" xr:uid="{00000000-0005-0000-0000-00000F030000}"/>
    <cellStyle name="40% - Ênfase1 4" xfId="6591" xr:uid="{00000000-0005-0000-0000-000010030000}"/>
    <cellStyle name="40% - Ênfase1 5" xfId="9435" xr:uid="{00000000-0005-0000-0000-000011030000}"/>
    <cellStyle name="40% - Ênfase1 6" xfId="9436" xr:uid="{00000000-0005-0000-0000-000012030000}"/>
    <cellStyle name="40% - Ênfase1 7" xfId="9437" xr:uid="{00000000-0005-0000-0000-000013030000}"/>
    <cellStyle name="40% - Ênfase1 8" xfId="6260" xr:uid="{00000000-0005-0000-0000-000014030000}"/>
    <cellStyle name="40% - Ênfase1 8 2" xfId="9506" xr:uid="{00000000-0005-0000-0000-000015030000}"/>
    <cellStyle name="40% - Ênfase2 2" xfId="11" xr:uid="{00000000-0005-0000-0000-000016030000}"/>
    <cellStyle name="40% - Ênfase2 3" xfId="6592" xr:uid="{00000000-0005-0000-0000-000017030000}"/>
    <cellStyle name="40% - Ênfase2 4" xfId="6593" xr:uid="{00000000-0005-0000-0000-000018030000}"/>
    <cellStyle name="40% - Ênfase2 5" xfId="9438" xr:uid="{00000000-0005-0000-0000-000019030000}"/>
    <cellStyle name="40% - Ênfase2 6" xfId="9439" xr:uid="{00000000-0005-0000-0000-00001A030000}"/>
    <cellStyle name="40% - Ênfase2 7" xfId="9440" xr:uid="{00000000-0005-0000-0000-00001B030000}"/>
    <cellStyle name="40% - Ênfase2 8" xfId="6264" xr:uid="{00000000-0005-0000-0000-00001C030000}"/>
    <cellStyle name="40% - Ênfase2 8 2" xfId="9507" xr:uid="{00000000-0005-0000-0000-00001D030000}"/>
    <cellStyle name="40% - Ênfase3 2" xfId="12" xr:uid="{00000000-0005-0000-0000-00001E030000}"/>
    <cellStyle name="40% - Ênfase3 3" xfId="6594" xr:uid="{00000000-0005-0000-0000-00001F030000}"/>
    <cellStyle name="40% - Ênfase3 4" xfId="6595" xr:uid="{00000000-0005-0000-0000-000020030000}"/>
    <cellStyle name="40% - Ênfase3 5" xfId="9441" xr:uid="{00000000-0005-0000-0000-000021030000}"/>
    <cellStyle name="40% - Ênfase3 6" xfId="9442" xr:uid="{00000000-0005-0000-0000-000022030000}"/>
    <cellStyle name="40% - Ênfase3 7" xfId="9443" xr:uid="{00000000-0005-0000-0000-000023030000}"/>
    <cellStyle name="40% - Ênfase3 8" xfId="6268" xr:uid="{00000000-0005-0000-0000-000024030000}"/>
    <cellStyle name="40% - Ênfase3 8 2" xfId="9508" xr:uid="{00000000-0005-0000-0000-000025030000}"/>
    <cellStyle name="40% - Ênfase4 2" xfId="13" xr:uid="{00000000-0005-0000-0000-000026030000}"/>
    <cellStyle name="40% - Ênfase4 3" xfId="6596" xr:uid="{00000000-0005-0000-0000-000027030000}"/>
    <cellStyle name="40% - Ênfase4 4" xfId="6597" xr:uid="{00000000-0005-0000-0000-000028030000}"/>
    <cellStyle name="40% - Ênfase4 5" xfId="9444" xr:uid="{00000000-0005-0000-0000-000029030000}"/>
    <cellStyle name="40% - Ênfase4 6" xfId="9445" xr:uid="{00000000-0005-0000-0000-00002A030000}"/>
    <cellStyle name="40% - Ênfase4 7" xfId="9446" xr:uid="{00000000-0005-0000-0000-00002B030000}"/>
    <cellStyle name="40% - Ênfase4 8" xfId="6272" xr:uid="{00000000-0005-0000-0000-00002C030000}"/>
    <cellStyle name="40% - Ênfase4 8 2" xfId="9509" xr:uid="{00000000-0005-0000-0000-00002D030000}"/>
    <cellStyle name="40% - Ênfase5 2" xfId="14" xr:uid="{00000000-0005-0000-0000-00002E030000}"/>
    <cellStyle name="40% - Ênfase5 3" xfId="6598" xr:uid="{00000000-0005-0000-0000-00002F030000}"/>
    <cellStyle name="40% - Ênfase5 4" xfId="6599" xr:uid="{00000000-0005-0000-0000-000030030000}"/>
    <cellStyle name="40% - Ênfase5 5" xfId="9447" xr:uid="{00000000-0005-0000-0000-000031030000}"/>
    <cellStyle name="40% - Ênfase5 6" xfId="9448" xr:uid="{00000000-0005-0000-0000-000032030000}"/>
    <cellStyle name="40% - Ênfase5 7" xfId="9449" xr:uid="{00000000-0005-0000-0000-000033030000}"/>
    <cellStyle name="40% - Ênfase5 8" xfId="6276" xr:uid="{00000000-0005-0000-0000-000034030000}"/>
    <cellStyle name="40% - Ênfase5 8 2" xfId="9510" xr:uid="{00000000-0005-0000-0000-000035030000}"/>
    <cellStyle name="40% - Ênfase6 2" xfId="15" xr:uid="{00000000-0005-0000-0000-000036030000}"/>
    <cellStyle name="40% - Ênfase6 3" xfId="6600" xr:uid="{00000000-0005-0000-0000-000037030000}"/>
    <cellStyle name="40% - Ênfase6 4" xfId="6601" xr:uid="{00000000-0005-0000-0000-000038030000}"/>
    <cellStyle name="40% - Ênfase6 5" xfId="9450" xr:uid="{00000000-0005-0000-0000-000039030000}"/>
    <cellStyle name="40% - Ênfase6 6" xfId="9451" xr:uid="{00000000-0005-0000-0000-00003A030000}"/>
    <cellStyle name="40% - Ênfase6 7" xfId="9452" xr:uid="{00000000-0005-0000-0000-00003B030000}"/>
    <cellStyle name="40% - Ênfase6 8" xfId="6280" xr:uid="{00000000-0005-0000-0000-00003C030000}"/>
    <cellStyle name="40% - Ênfase6 8 2" xfId="9511" xr:uid="{00000000-0005-0000-0000-00003D030000}"/>
    <cellStyle name="5" xfId="6602" xr:uid="{00000000-0005-0000-0000-00003E030000}"/>
    <cellStyle name="5 2" xfId="6603" xr:uid="{00000000-0005-0000-0000-00003F030000}"/>
    <cellStyle name="5_Pay tv2" xfId="6604" xr:uid="{00000000-0005-0000-0000-000040030000}"/>
    <cellStyle name="5_RK Pay tv MM ABC 18a34 Progrmas prime" xfId="6605" xr:uid="{00000000-0005-0000-0000-000041030000}"/>
    <cellStyle name="5_RK Pay tv MM ABC 18a34 Progrmas tt" xfId="6606" xr:uid="{00000000-0005-0000-0000-000042030000}"/>
    <cellStyle name="6" xfId="6607" xr:uid="{00000000-0005-0000-0000-000043030000}"/>
    <cellStyle name="6 2" xfId="6608" xr:uid="{00000000-0005-0000-0000-000044030000}"/>
    <cellStyle name="6_Pay tv2" xfId="6609" xr:uid="{00000000-0005-0000-0000-000045030000}"/>
    <cellStyle name="6_RK Pay tv MM ABC 18a34 Progrmas prime" xfId="6610" xr:uid="{00000000-0005-0000-0000-000046030000}"/>
    <cellStyle name="6_RK Pay tv MM ABC 18a34 Progrmas tt" xfId="6611" xr:uid="{00000000-0005-0000-0000-000047030000}"/>
    <cellStyle name="60% - Accent1" xfId="498" xr:uid="{00000000-0005-0000-0000-000048030000}"/>
    <cellStyle name="60% - Accent1 2" xfId="499" xr:uid="{00000000-0005-0000-0000-000049030000}"/>
    <cellStyle name="60% - Accent2" xfId="500" xr:uid="{00000000-0005-0000-0000-00004A030000}"/>
    <cellStyle name="60% - Accent2 2" xfId="501" xr:uid="{00000000-0005-0000-0000-00004B030000}"/>
    <cellStyle name="60% - Accent3" xfId="502" xr:uid="{00000000-0005-0000-0000-00004C030000}"/>
    <cellStyle name="60% - Accent3 2" xfId="503" xr:uid="{00000000-0005-0000-0000-00004D030000}"/>
    <cellStyle name="60% - Accent4" xfId="504" xr:uid="{00000000-0005-0000-0000-00004E030000}"/>
    <cellStyle name="60% - Accent4 2" xfId="505" xr:uid="{00000000-0005-0000-0000-00004F030000}"/>
    <cellStyle name="60% - Accent5" xfId="506" xr:uid="{00000000-0005-0000-0000-000050030000}"/>
    <cellStyle name="60% - Accent5 2" xfId="507" xr:uid="{00000000-0005-0000-0000-000051030000}"/>
    <cellStyle name="60% - Accent6" xfId="508" xr:uid="{00000000-0005-0000-0000-000052030000}"/>
    <cellStyle name="60% - Accent6 2" xfId="509" xr:uid="{00000000-0005-0000-0000-000053030000}"/>
    <cellStyle name="60% - Ênfase1 2" xfId="16" xr:uid="{00000000-0005-0000-0000-000054030000}"/>
    <cellStyle name="60% - Ênfase1 3" xfId="6612" xr:uid="{00000000-0005-0000-0000-000055030000}"/>
    <cellStyle name="60% - Ênfase1 4" xfId="6613" xr:uid="{00000000-0005-0000-0000-000056030000}"/>
    <cellStyle name="60% - Ênfase1 5" xfId="9453" xr:uid="{00000000-0005-0000-0000-000057030000}"/>
    <cellStyle name="60% - Ênfase1 6" xfId="9454" xr:uid="{00000000-0005-0000-0000-000058030000}"/>
    <cellStyle name="60% - Ênfase1 7" xfId="9455" xr:uid="{00000000-0005-0000-0000-000059030000}"/>
    <cellStyle name="60% - Ênfase1 8" xfId="6261" xr:uid="{00000000-0005-0000-0000-00005A030000}"/>
    <cellStyle name="60% - Ênfase2 2" xfId="17" xr:uid="{00000000-0005-0000-0000-00005B030000}"/>
    <cellStyle name="60% - Ênfase2 3" xfId="6614" xr:uid="{00000000-0005-0000-0000-00005C030000}"/>
    <cellStyle name="60% - Ênfase2 4" xfId="6615" xr:uid="{00000000-0005-0000-0000-00005D030000}"/>
    <cellStyle name="60% - Ênfase2 5" xfId="9456" xr:uid="{00000000-0005-0000-0000-00005E030000}"/>
    <cellStyle name="60% - Ênfase2 6" xfId="9457" xr:uid="{00000000-0005-0000-0000-00005F030000}"/>
    <cellStyle name="60% - Ênfase2 7" xfId="9458" xr:uid="{00000000-0005-0000-0000-000060030000}"/>
    <cellStyle name="60% - Ênfase2 8" xfId="6265" xr:uid="{00000000-0005-0000-0000-000061030000}"/>
    <cellStyle name="60% - Ênfase3 2" xfId="18" xr:uid="{00000000-0005-0000-0000-000062030000}"/>
    <cellStyle name="60% - Ênfase3 3" xfId="6616" xr:uid="{00000000-0005-0000-0000-000063030000}"/>
    <cellStyle name="60% - Ênfase3 4" xfId="6617" xr:uid="{00000000-0005-0000-0000-000064030000}"/>
    <cellStyle name="60% - Ênfase3 5" xfId="9459" xr:uid="{00000000-0005-0000-0000-000065030000}"/>
    <cellStyle name="60% - Ênfase3 6" xfId="9460" xr:uid="{00000000-0005-0000-0000-000066030000}"/>
    <cellStyle name="60% - Ênfase3 7" xfId="9461" xr:uid="{00000000-0005-0000-0000-000067030000}"/>
    <cellStyle name="60% - Ênfase3 8" xfId="6269" xr:uid="{00000000-0005-0000-0000-000068030000}"/>
    <cellStyle name="60% - Ênfase4 2" xfId="19" xr:uid="{00000000-0005-0000-0000-000069030000}"/>
    <cellStyle name="60% - Ênfase4 3" xfId="6618" xr:uid="{00000000-0005-0000-0000-00006A030000}"/>
    <cellStyle name="60% - Ênfase4 4" xfId="6619" xr:uid="{00000000-0005-0000-0000-00006B030000}"/>
    <cellStyle name="60% - Ênfase4 5" xfId="9462" xr:uid="{00000000-0005-0000-0000-00006C030000}"/>
    <cellStyle name="60% - Ênfase4 6" xfId="9463" xr:uid="{00000000-0005-0000-0000-00006D030000}"/>
    <cellStyle name="60% - Ênfase4 7" xfId="9464" xr:uid="{00000000-0005-0000-0000-00006E030000}"/>
    <cellStyle name="60% - Ênfase4 8" xfId="6273" xr:uid="{00000000-0005-0000-0000-00006F030000}"/>
    <cellStyle name="60% - Ênfase5 2" xfId="20" xr:uid="{00000000-0005-0000-0000-000070030000}"/>
    <cellStyle name="60% - Ênfase5 3" xfId="6620" xr:uid="{00000000-0005-0000-0000-000071030000}"/>
    <cellStyle name="60% - Ênfase5 4" xfId="6621" xr:uid="{00000000-0005-0000-0000-000072030000}"/>
    <cellStyle name="60% - Ênfase5 5" xfId="9465" xr:uid="{00000000-0005-0000-0000-000073030000}"/>
    <cellStyle name="60% - Ênfase5 6" xfId="9466" xr:uid="{00000000-0005-0000-0000-000074030000}"/>
    <cellStyle name="60% - Ênfase5 7" xfId="9467" xr:uid="{00000000-0005-0000-0000-000075030000}"/>
    <cellStyle name="60% - Ênfase5 8" xfId="6277" xr:uid="{00000000-0005-0000-0000-000076030000}"/>
    <cellStyle name="60% - Ênfase6 2" xfId="21" xr:uid="{00000000-0005-0000-0000-000077030000}"/>
    <cellStyle name="60% - Ênfase6 3" xfId="6622" xr:uid="{00000000-0005-0000-0000-000078030000}"/>
    <cellStyle name="60% - Ênfase6 4" xfId="6623" xr:uid="{00000000-0005-0000-0000-000079030000}"/>
    <cellStyle name="60% - Ênfase6 5" xfId="9468" xr:uid="{00000000-0005-0000-0000-00007A030000}"/>
    <cellStyle name="60% - Ênfase6 6" xfId="9469" xr:uid="{00000000-0005-0000-0000-00007B030000}"/>
    <cellStyle name="60% - Ênfase6 7" xfId="9470" xr:uid="{00000000-0005-0000-0000-00007C030000}"/>
    <cellStyle name="60% - Ênfase6 8" xfId="6281" xr:uid="{00000000-0005-0000-0000-00007D030000}"/>
    <cellStyle name="7" xfId="6624" xr:uid="{00000000-0005-0000-0000-00007E030000}"/>
    <cellStyle name="7 2" xfId="6625" xr:uid="{00000000-0005-0000-0000-00007F030000}"/>
    <cellStyle name="7_Pay tv2" xfId="6626" xr:uid="{00000000-0005-0000-0000-000080030000}"/>
    <cellStyle name="7_RK Pay tv MM ABC 18a34 Progrmas prime" xfId="6627" xr:uid="{00000000-0005-0000-0000-000081030000}"/>
    <cellStyle name="7_RK Pay tv MM ABC 18a34 Progrmas tt" xfId="6628" xr:uid="{00000000-0005-0000-0000-000082030000}"/>
    <cellStyle name="752131" xfId="510" xr:uid="{00000000-0005-0000-0000-000083030000}"/>
    <cellStyle name="8" xfId="511" xr:uid="{00000000-0005-0000-0000-000084030000}"/>
    <cellStyle name="8 2" xfId="6629" xr:uid="{00000000-0005-0000-0000-000085030000}"/>
    <cellStyle name="8_Capex Book 0808" xfId="512" xr:uid="{00000000-0005-0000-0000-000086030000}"/>
    <cellStyle name="8_Capex Book Out 08" xfId="513" xr:uid="{00000000-0005-0000-0000-000087030000}"/>
    <cellStyle name="8_Capex Jan_08" xfId="514" xr:uid="{00000000-0005-0000-0000-000088030000}"/>
    <cellStyle name="8_Capex Nov" xfId="515" xr:uid="{00000000-0005-0000-0000-000089030000}"/>
    <cellStyle name="8_cristina dre e capex" xfId="516" xr:uid="{00000000-0005-0000-0000-00008A030000}"/>
    <cellStyle name="8_DRE" xfId="517" xr:uid="{00000000-0005-0000-0000-00008B030000}"/>
    <cellStyle name="8_EC NET-EBT Abr09 Ref Mar09 - 15-Abr-09_v3" xfId="518" xr:uid="{00000000-0005-0000-0000-00008C030000}"/>
    <cellStyle name="8_EC NET-EBT Fev09 Ref  Jan09 - 15-Fev-09" xfId="519" xr:uid="{00000000-0005-0000-0000-00008D030000}"/>
    <cellStyle name="8_EC NET-EBT Jan09 Ref  Dez08 - 15-Jan-09" xfId="520" xr:uid="{00000000-0005-0000-0000-00008E030000}"/>
    <cellStyle name="8_EC NET-EBT Mar09 Ref Fev09 - 16-Mar-09" xfId="521" xr:uid="{00000000-0005-0000-0000-00008F030000}"/>
    <cellStyle name="8_EC NET-EBT Ref  Ago08 - 15-09-08" xfId="522" xr:uid="{00000000-0005-0000-0000-000090030000}"/>
    <cellStyle name="8_EC NET-EBT Ref  Nov08 - 15-Dez-08_v2 (2)" xfId="523" xr:uid="{00000000-0005-0000-0000-000091030000}"/>
    <cellStyle name="8_EC NET-EBT Ref. Out08 - 11-11-08_v2" xfId="524" xr:uid="{00000000-0005-0000-0000-000092030000}"/>
    <cellStyle name="8_EC NET-EBT Ref. Set08 - 15-10-08" xfId="525" xr:uid="{00000000-0005-0000-0000-000093030000}"/>
    <cellStyle name="8_Estrutura das Praças Atualizado" xfId="526" xr:uid="{00000000-0005-0000-0000-000094030000}"/>
    <cellStyle name="8_Pay tv2" xfId="6630" xr:uid="{00000000-0005-0000-0000-000095030000}"/>
    <cellStyle name="8_Res capex Set 2008" xfId="527" xr:uid="{00000000-0005-0000-0000-000096030000}"/>
    <cellStyle name="8_RK Pay tv MM ABC 18a34 Progrmas prime" xfId="6631" xr:uid="{00000000-0005-0000-0000-000097030000}"/>
    <cellStyle name="8_RK Pay tv MM ABC 18a34 Progrmas tt" xfId="6632" xr:uid="{00000000-0005-0000-0000-000098030000}"/>
    <cellStyle name="9" xfId="6633" xr:uid="{00000000-0005-0000-0000-000099030000}"/>
    <cellStyle name="9 2" xfId="6634" xr:uid="{00000000-0005-0000-0000-00009A030000}"/>
    <cellStyle name="9_Pay tv2" xfId="6635" xr:uid="{00000000-0005-0000-0000-00009B030000}"/>
    <cellStyle name="9_RK Pay tv MM ABC 18a34 Progrmas prime" xfId="6636" xr:uid="{00000000-0005-0000-0000-00009C030000}"/>
    <cellStyle name="9_RK Pay tv MM ABC 18a34 Progrmas tt" xfId="6637" xr:uid="{00000000-0005-0000-0000-00009D030000}"/>
    <cellStyle name="A Big heading" xfId="528" xr:uid="{00000000-0005-0000-0000-00009E030000}"/>
    <cellStyle name="A body text" xfId="529" xr:uid="{00000000-0005-0000-0000-00009F030000}"/>
    <cellStyle name="A smaller heading" xfId="530" xr:uid="{00000000-0005-0000-0000-0000A0030000}"/>
    <cellStyle name="a_Divisão" xfId="531" xr:uid="{00000000-0005-0000-0000-0000A1030000}"/>
    <cellStyle name="a_normal" xfId="532" xr:uid="{00000000-0005-0000-0000-0000A2030000}"/>
    <cellStyle name="a_quebra_1" xfId="533" xr:uid="{00000000-0005-0000-0000-0000A3030000}"/>
    <cellStyle name="a_quebra_2" xfId="534" xr:uid="{00000000-0005-0000-0000-0000A4030000}"/>
    <cellStyle name="AbertBalan" xfId="535" xr:uid="{00000000-0005-0000-0000-0000A5030000}"/>
    <cellStyle name="Accent1" xfId="536" xr:uid="{00000000-0005-0000-0000-0000A6030000}"/>
    <cellStyle name="Accent1 - 20%" xfId="6638" xr:uid="{00000000-0005-0000-0000-0000A7030000}"/>
    <cellStyle name="Accent1 - 40%" xfId="6639" xr:uid="{00000000-0005-0000-0000-0000A8030000}"/>
    <cellStyle name="Accent1 - 60%" xfId="6640" xr:uid="{00000000-0005-0000-0000-0000A9030000}"/>
    <cellStyle name="Accent1 2" xfId="537" xr:uid="{00000000-0005-0000-0000-0000AA030000}"/>
    <cellStyle name="Accent1_CONBRAS_Estrutura%20de%20Precos_BARRA(2)" xfId="9471" xr:uid="{00000000-0005-0000-0000-0000AB030000}"/>
    <cellStyle name="Accent2" xfId="538" xr:uid="{00000000-0005-0000-0000-0000AC030000}"/>
    <cellStyle name="Accent2 - 20%" xfId="6641" xr:uid="{00000000-0005-0000-0000-0000AD030000}"/>
    <cellStyle name="Accent2 - 40%" xfId="6642" xr:uid="{00000000-0005-0000-0000-0000AE030000}"/>
    <cellStyle name="Accent2 - 60%" xfId="6643" xr:uid="{00000000-0005-0000-0000-0000AF030000}"/>
    <cellStyle name="Accent2 2" xfId="539" xr:uid="{00000000-0005-0000-0000-0000B0030000}"/>
    <cellStyle name="Accent2_CONBRAS_Estrutura%20de%20Precos_BARRA(2)" xfId="9472" xr:uid="{00000000-0005-0000-0000-0000B1030000}"/>
    <cellStyle name="Accent3" xfId="540" xr:uid="{00000000-0005-0000-0000-0000B2030000}"/>
    <cellStyle name="Accent3 - 20%" xfId="6644" xr:uid="{00000000-0005-0000-0000-0000B3030000}"/>
    <cellStyle name="Accent3 - 40%" xfId="6645" xr:uid="{00000000-0005-0000-0000-0000B4030000}"/>
    <cellStyle name="Accent3 - 60%" xfId="6646" xr:uid="{00000000-0005-0000-0000-0000B5030000}"/>
    <cellStyle name="Accent3 2" xfId="541" xr:uid="{00000000-0005-0000-0000-0000B6030000}"/>
    <cellStyle name="Accent3_CONBRAS_Estrutura%20de%20Precos_BARRA(2)" xfId="9473" xr:uid="{00000000-0005-0000-0000-0000B7030000}"/>
    <cellStyle name="Accent4" xfId="542" xr:uid="{00000000-0005-0000-0000-0000B8030000}"/>
    <cellStyle name="Accent4 - 20%" xfId="6647" xr:uid="{00000000-0005-0000-0000-0000B9030000}"/>
    <cellStyle name="Accent4 - 40%" xfId="6648" xr:uid="{00000000-0005-0000-0000-0000BA030000}"/>
    <cellStyle name="Accent4 - 60%" xfId="6649" xr:uid="{00000000-0005-0000-0000-0000BB030000}"/>
    <cellStyle name="Accent4 2" xfId="543" xr:uid="{00000000-0005-0000-0000-0000BC030000}"/>
    <cellStyle name="Accent4_CONBRAS_Estrutura%20de%20Precos_BARRA(2)" xfId="9474" xr:uid="{00000000-0005-0000-0000-0000BD030000}"/>
    <cellStyle name="Accent5" xfId="544" xr:uid="{00000000-0005-0000-0000-0000BE030000}"/>
    <cellStyle name="Accent5 - 20%" xfId="6650" xr:uid="{00000000-0005-0000-0000-0000BF030000}"/>
    <cellStyle name="Accent5 - 40%" xfId="6651" xr:uid="{00000000-0005-0000-0000-0000C0030000}"/>
    <cellStyle name="Accent5 - 60%" xfId="6652" xr:uid="{00000000-0005-0000-0000-0000C1030000}"/>
    <cellStyle name="Accent5 2" xfId="545" xr:uid="{00000000-0005-0000-0000-0000C2030000}"/>
    <cellStyle name="Accent5_CONBRAS_Estrutura%20de%20Precos_BARRA(2)" xfId="9475" xr:uid="{00000000-0005-0000-0000-0000C3030000}"/>
    <cellStyle name="Accent6" xfId="546" xr:uid="{00000000-0005-0000-0000-0000C4030000}"/>
    <cellStyle name="Accent6 - 20%" xfId="6653" xr:uid="{00000000-0005-0000-0000-0000C5030000}"/>
    <cellStyle name="Accent6 - 40%" xfId="6654" xr:uid="{00000000-0005-0000-0000-0000C6030000}"/>
    <cellStyle name="Accent6 - 60%" xfId="6655" xr:uid="{00000000-0005-0000-0000-0000C7030000}"/>
    <cellStyle name="Accent6 2" xfId="547" xr:uid="{00000000-0005-0000-0000-0000C8030000}"/>
    <cellStyle name="Accent6_CONBRAS_Estrutura%20de%20Precos_BARRA(2)" xfId="9476" xr:uid="{00000000-0005-0000-0000-0000C9030000}"/>
    <cellStyle name="Acctg" xfId="548" xr:uid="{00000000-0005-0000-0000-0000CA030000}"/>
    <cellStyle name="Acctg$" xfId="549" xr:uid="{00000000-0005-0000-0000-0000CB030000}"/>
    <cellStyle name="Acctg_20031216_Vírtua_Empresa" xfId="550" xr:uid="{00000000-0005-0000-0000-0000CC030000}"/>
    <cellStyle name="AFE" xfId="6656" xr:uid="{00000000-0005-0000-0000-0000CD030000}"/>
    <cellStyle name="aht" xfId="551" xr:uid="{00000000-0005-0000-0000-0000CE030000}"/>
    <cellStyle name="al" xfId="552" xr:uid="{00000000-0005-0000-0000-0000CF030000}"/>
    <cellStyle name="albert style" xfId="553" xr:uid="{00000000-0005-0000-0000-0000D0030000}"/>
    <cellStyle name="Alexandre" xfId="554" xr:uid="{00000000-0005-0000-0000-0000D1030000}"/>
    <cellStyle name="Amarelo%" xfId="555" xr:uid="{00000000-0005-0000-0000-0000D2030000}"/>
    <cellStyle name="Amarelocot" xfId="556" xr:uid="{00000000-0005-0000-0000-0000D3030000}"/>
    <cellStyle name="amount" xfId="557" xr:uid="{00000000-0005-0000-0000-0000D4030000}"/>
    <cellStyle name="Ano" xfId="558" xr:uid="{00000000-0005-0000-0000-0000D5030000}"/>
    <cellStyle name="Ano 2" xfId="6657" xr:uid="{00000000-0005-0000-0000-0000D6030000}"/>
    <cellStyle name="anobase" xfId="559" xr:uid="{00000000-0005-0000-0000-0000D7030000}"/>
    <cellStyle name="anos" xfId="560" xr:uid="{00000000-0005-0000-0000-0000D8030000}"/>
    <cellStyle name="apresent" xfId="561" xr:uid="{00000000-0005-0000-0000-0000D9030000}"/>
    <cellStyle name="Área" xfId="562" xr:uid="{00000000-0005-0000-0000-0000DA030000}"/>
    <cellStyle name="args.style" xfId="6658" xr:uid="{00000000-0005-0000-0000-0000DB030000}"/>
    <cellStyle name="Array" xfId="563" xr:uid="{00000000-0005-0000-0000-0000DC030000}"/>
    <cellStyle name="Array Enter" xfId="6659" xr:uid="{00000000-0005-0000-0000-0000DD030000}"/>
    <cellStyle name="ast" xfId="564" xr:uid="{00000000-0005-0000-0000-0000DE030000}"/>
    <cellStyle name="ast1" xfId="565" xr:uid="{00000000-0005-0000-0000-0000DF030000}"/>
    <cellStyle name="at" xfId="566" xr:uid="{00000000-0005-0000-0000-0000E0030000}"/>
    <cellStyle name="at 2" xfId="6660" xr:uid="{00000000-0005-0000-0000-0000E1030000}"/>
    <cellStyle name="Availability" xfId="567" xr:uid="{00000000-0005-0000-0000-0000E2030000}"/>
    <cellStyle name="b" xfId="568" xr:uid="{00000000-0005-0000-0000-0000E3030000}"/>
    <cellStyle name="b$0" xfId="569" xr:uid="{00000000-0005-0000-0000-0000E4030000}"/>
    <cellStyle name="b$1" xfId="570" xr:uid="{00000000-0005-0000-0000-0000E5030000}"/>
    <cellStyle name="b$2" xfId="571" xr:uid="{00000000-0005-0000-0000-0000E6030000}"/>
    <cellStyle name="b%0" xfId="572" xr:uid="{00000000-0005-0000-0000-0000E7030000}"/>
    <cellStyle name="b%1" xfId="573" xr:uid="{00000000-0005-0000-0000-0000E8030000}"/>
    <cellStyle name="b%1 2" xfId="6661" xr:uid="{00000000-0005-0000-0000-0000E9030000}"/>
    <cellStyle name="b%2" xfId="574" xr:uid="{00000000-0005-0000-0000-0000EA030000}"/>
    <cellStyle name="b_Q2 pipeline" xfId="575" xr:uid="{00000000-0005-0000-0000-0000EB030000}"/>
    <cellStyle name="b_Q2 pipeline 2" xfId="6662" xr:uid="{00000000-0005-0000-0000-0000EC030000}"/>
    <cellStyle name="b_Q2 pipeline_Cópia de Modelo - Fluxo de Caixa Orcamento 09052009_V36_3" xfId="576" xr:uid="{00000000-0005-0000-0000-0000ED030000}"/>
    <cellStyle name="b_Q2 pipeline_Cópia de Modelo - Fluxo de Caixa Orcamento 09052009_V36_3 2" xfId="6663" xr:uid="{00000000-0005-0000-0000-0000EE030000}"/>
    <cellStyle name="b_Q2 pipeline_Fluxo de Caixa Orcamento FINAL_13052009" xfId="577" xr:uid="{00000000-0005-0000-0000-0000EF030000}"/>
    <cellStyle name="b_Q2 pipeline_Fluxo de Caixa Orcamento FINAL_13052009 2" xfId="6664" xr:uid="{00000000-0005-0000-0000-0000F0030000}"/>
    <cellStyle name="b_Q2 pipeline_FM_dummyV4" xfId="578" xr:uid="{00000000-0005-0000-0000-0000F1030000}"/>
    <cellStyle name="b_Q2 pipeline_lalur" xfId="579" xr:uid="{00000000-0005-0000-0000-0000F2030000}"/>
    <cellStyle name="b_Q2 pipeline_Leasing_V3" xfId="580" xr:uid="{00000000-0005-0000-0000-0000F3030000}"/>
    <cellStyle name="b_Q2 pipeline_MODELO PDP III" xfId="581" xr:uid="{00000000-0005-0000-0000-0000F4030000}"/>
    <cellStyle name="b_Q2 pipeline_ORÇ_2009" xfId="582" xr:uid="{00000000-0005-0000-0000-0000F5030000}"/>
    <cellStyle name="b_Q2 pipeline_ORÇ_2009 2" xfId="6665" xr:uid="{00000000-0005-0000-0000-0000F6030000}"/>
    <cellStyle name="b_Q2 pipeline_Pasta2" xfId="583" xr:uid="{00000000-0005-0000-0000-0000F7030000}"/>
    <cellStyle name="b_Q2 pipeline_Pasta2 2" xfId="6666" xr:uid="{00000000-0005-0000-0000-0000F8030000}"/>
    <cellStyle name="b£0" xfId="584" xr:uid="{00000000-0005-0000-0000-0000F9030000}"/>
    <cellStyle name="b£1" xfId="585" xr:uid="{00000000-0005-0000-0000-0000FA030000}"/>
    <cellStyle name="b£2" xfId="586" xr:uid="{00000000-0005-0000-0000-0000FB030000}"/>
    <cellStyle name="b0" xfId="587" xr:uid="{00000000-0005-0000-0000-0000FC030000}"/>
    <cellStyle name="b0#" xfId="588" xr:uid="{00000000-0005-0000-0000-0000FD030000}"/>
    <cellStyle name="b0_Q2 pipeline" xfId="589" xr:uid="{00000000-0005-0000-0000-0000FE030000}"/>
    <cellStyle name="b1" xfId="590" xr:uid="{00000000-0005-0000-0000-0000FF030000}"/>
    <cellStyle name="b2" xfId="591" xr:uid="{00000000-0005-0000-0000-000000040000}"/>
    <cellStyle name="Bad" xfId="592" xr:uid="{00000000-0005-0000-0000-000001040000}"/>
    <cellStyle name="Bad 2" xfId="593" xr:uid="{00000000-0005-0000-0000-000002040000}"/>
    <cellStyle name="Barra" xfId="594" xr:uid="{00000000-0005-0000-0000-000003040000}"/>
    <cellStyle name="Barra 2" xfId="6667" xr:uid="{00000000-0005-0000-0000-000004040000}"/>
    <cellStyle name="BarraMês" xfId="595" xr:uid="{00000000-0005-0000-0000-000005040000}"/>
    <cellStyle name="base" xfId="596" xr:uid="{00000000-0005-0000-0000-000006040000}"/>
    <cellStyle name="base 2" xfId="6668" xr:uid="{00000000-0005-0000-0000-000007040000}"/>
    <cellStyle name="bch" xfId="6669" xr:uid="{00000000-0005-0000-0000-000008040000}"/>
    <cellStyle name="bci" xfId="6670" xr:uid="{00000000-0005-0000-0000-000009040000}"/>
    <cellStyle name="Black" xfId="597" xr:uid="{00000000-0005-0000-0000-00000A040000}"/>
    <cellStyle name="blank" xfId="598" xr:uid="{00000000-0005-0000-0000-00000B040000}"/>
    <cellStyle name="blank 2" xfId="599" xr:uid="{00000000-0005-0000-0000-00000C040000}"/>
    <cellStyle name="Blue" xfId="600" xr:uid="{00000000-0005-0000-0000-00000D040000}"/>
    <cellStyle name="Blue Font" xfId="601" xr:uid="{00000000-0005-0000-0000-00000E040000}"/>
    <cellStyle name="Blue Font 2" xfId="602" xr:uid="{00000000-0005-0000-0000-00000F040000}"/>
    <cellStyle name="Blue Font_INFO" xfId="603" xr:uid="{00000000-0005-0000-0000-000010040000}"/>
    <cellStyle name="bn0" xfId="604" xr:uid="{00000000-0005-0000-0000-000011040000}"/>
    <cellStyle name="bo" xfId="605" xr:uid="{00000000-0005-0000-0000-000012040000}"/>
    <cellStyle name="Body_BoldText" xfId="606" xr:uid="{00000000-0005-0000-0000-000013040000}"/>
    <cellStyle name="Bold 11" xfId="607" xr:uid="{00000000-0005-0000-0000-000014040000}"/>
    <cellStyle name="bold big" xfId="608" xr:uid="{00000000-0005-0000-0000-000015040000}"/>
    <cellStyle name="bold bot bord" xfId="609" xr:uid="{00000000-0005-0000-0000-000016040000}"/>
    <cellStyle name="bold underline" xfId="610" xr:uid="{00000000-0005-0000-0000-000017040000}"/>
    <cellStyle name="Bold/Border" xfId="611" xr:uid="{00000000-0005-0000-0000-000018040000}"/>
    <cellStyle name="Bold/Border 2" xfId="612" xr:uid="{00000000-0005-0000-0000-000019040000}"/>
    <cellStyle name="Bold/Border_INFO" xfId="613" xr:uid="{00000000-0005-0000-0000-00001A040000}"/>
    <cellStyle name="boldno$" xfId="614" xr:uid="{00000000-0005-0000-0000-00001B040000}"/>
    <cellStyle name="boldwith$" xfId="615" xr:uid="{00000000-0005-0000-0000-00001C040000}"/>
    <cellStyle name="bolet" xfId="616" xr:uid="{00000000-0005-0000-0000-00001D040000}"/>
    <cellStyle name="Bom 2" xfId="22" xr:uid="{00000000-0005-0000-0000-00001E040000}"/>
    <cellStyle name="Bom 3" xfId="6231" xr:uid="{00000000-0005-0000-0000-00001F040000}"/>
    <cellStyle name="Bom 4" xfId="6671" xr:uid="{00000000-0005-0000-0000-000020040000}"/>
    <cellStyle name="Bom 5" xfId="9477" xr:uid="{00000000-0005-0000-0000-000021040000}"/>
    <cellStyle name="Bom 6" xfId="9478" xr:uid="{00000000-0005-0000-0000-000022040000}"/>
    <cellStyle name="Bom 7" xfId="9479" xr:uid="{00000000-0005-0000-0000-000023040000}"/>
    <cellStyle name="Bom 8" xfId="6246" xr:uid="{00000000-0005-0000-0000-000024040000}"/>
    <cellStyle name="Border Bottom Thick" xfId="617" xr:uid="{00000000-0005-0000-0000-000025040000}"/>
    <cellStyle name="Border Top Thin" xfId="618" xr:uid="{00000000-0005-0000-0000-000026040000}"/>
    <cellStyle name="Border Top Thin 2" xfId="6672" xr:uid="{00000000-0005-0000-0000-000027040000}"/>
    <cellStyle name="Bottom" xfId="619" xr:uid="{00000000-0005-0000-0000-000028040000}"/>
    <cellStyle name="Bottom 2" xfId="6673" xr:uid="{00000000-0005-0000-0000-000029040000}"/>
    <cellStyle name="bs0" xfId="620" xr:uid="{00000000-0005-0000-0000-00002A040000}"/>
    <cellStyle name="bss0" xfId="621" xr:uid="{00000000-0005-0000-0000-00002B040000}"/>
    <cellStyle name="bss0 2" xfId="6674" xr:uid="{00000000-0005-0000-0000-00002C040000}"/>
    <cellStyle name="bss2" xfId="622" xr:uid="{00000000-0005-0000-0000-00002D040000}"/>
    <cellStyle name="bss2 2" xfId="6675" xr:uid="{00000000-0005-0000-0000-00002E040000}"/>
    <cellStyle name="bt" xfId="623" xr:uid="{00000000-0005-0000-0000-00002F040000}"/>
    <cellStyle name="bt 2" xfId="6676" xr:uid="{00000000-0005-0000-0000-000030040000}"/>
    <cellStyle name="Bullet" xfId="624" xr:uid="{00000000-0005-0000-0000-000031040000}"/>
    <cellStyle name="bx0" xfId="625" xr:uid="{00000000-0005-0000-0000-000032040000}"/>
    <cellStyle name="bx1" xfId="626" xr:uid="{00000000-0005-0000-0000-000033040000}"/>
    <cellStyle name="bx2" xfId="627" xr:uid="{00000000-0005-0000-0000-000034040000}"/>
    <cellStyle name="c" xfId="628" xr:uid="{00000000-0005-0000-0000-000035040000}"/>
    <cellStyle name="c_~0031896" xfId="629" xr:uid="{00000000-0005-0000-0000-000036040000}"/>
    <cellStyle name="c_~0031896_Comparativo VP FIN v1_So 2008" xfId="6677" xr:uid="{00000000-0005-0000-0000-000037040000}"/>
    <cellStyle name="c_~0031896_Comparativo VP MKT 2008 v1_So 2008" xfId="6678" xr:uid="{00000000-0005-0000-0000-000038040000}"/>
    <cellStyle name="c_~0031896_Comparativo VP TEC 2008 v1_So 2008" xfId="6679" xr:uid="{00000000-0005-0000-0000-000039040000}"/>
    <cellStyle name="c_~0031896_Comparativo VP TEC 2008_Luiz Sergio" xfId="6680" xr:uid="{00000000-0005-0000-0000-00003A040000}"/>
    <cellStyle name="c_~0031896_Cópia de Modelo - Fluxo de Caixa Orcamento 09052009_V36_3" xfId="630" xr:uid="{00000000-0005-0000-0000-00003B040000}"/>
    <cellStyle name="c_~0031896_Fluxo de Caixa Orcamento FINAL_13052009" xfId="631" xr:uid="{00000000-0005-0000-0000-00003C040000}"/>
    <cellStyle name="c_~0031896_FM_dummyV4" xfId="632" xr:uid="{00000000-0005-0000-0000-00003D040000}"/>
    <cellStyle name="c_~0031896_lalur" xfId="633" xr:uid="{00000000-0005-0000-0000-00003E040000}"/>
    <cellStyle name="c_~0031896_Leasing_V3" xfId="634" xr:uid="{00000000-0005-0000-0000-00003F040000}"/>
    <cellStyle name="c_~0031896_MODELO PDP III" xfId="635" xr:uid="{00000000-0005-0000-0000-000040040000}"/>
    <cellStyle name="c_~0031896_ORÇ_2009" xfId="636" xr:uid="{00000000-0005-0000-0000-000041040000}"/>
    <cellStyle name="c_~0031896_Pasta2" xfId="637" xr:uid="{00000000-0005-0000-0000-000042040000}"/>
    <cellStyle name="c_~0031896_Q2 pipeline" xfId="638" xr:uid="{00000000-0005-0000-0000-000043040000}"/>
    <cellStyle name="c_~0031896_Q2 pipeline 2" xfId="6681" xr:uid="{00000000-0005-0000-0000-000044040000}"/>
    <cellStyle name="c_~0031896_Q2 pipeline_Cópia de Modelo - Fluxo de Caixa Orcamento 09052009_V36_3" xfId="639" xr:uid="{00000000-0005-0000-0000-000045040000}"/>
    <cellStyle name="c_~0031896_Q2 pipeline_Cópia de Modelo - Fluxo de Caixa Orcamento 09052009_V36_3 2" xfId="6682" xr:uid="{00000000-0005-0000-0000-000046040000}"/>
    <cellStyle name="c_~0031896_Q2 pipeline_Fluxo de Caixa Orcamento FINAL_13052009" xfId="640" xr:uid="{00000000-0005-0000-0000-000047040000}"/>
    <cellStyle name="c_~0031896_Q2 pipeline_Fluxo de Caixa Orcamento FINAL_13052009 2" xfId="6683" xr:uid="{00000000-0005-0000-0000-000048040000}"/>
    <cellStyle name="c_~0031896_Q2 pipeline_FM_dummyV4" xfId="641" xr:uid="{00000000-0005-0000-0000-000049040000}"/>
    <cellStyle name="c_~0031896_Q2 pipeline_lalur" xfId="642" xr:uid="{00000000-0005-0000-0000-00004A040000}"/>
    <cellStyle name="c_~0031896_Q2 pipeline_Leasing_V3" xfId="643" xr:uid="{00000000-0005-0000-0000-00004B040000}"/>
    <cellStyle name="c_~0031896_Q2 pipeline_MODELO PDP III" xfId="644" xr:uid="{00000000-0005-0000-0000-00004C040000}"/>
    <cellStyle name="c_~0031896_Q2 pipeline_ORÇ_2009" xfId="645" xr:uid="{00000000-0005-0000-0000-00004D040000}"/>
    <cellStyle name="c_~0031896_Q2 pipeline_ORÇ_2009 2" xfId="6684" xr:uid="{00000000-0005-0000-0000-00004E040000}"/>
    <cellStyle name="c_~0031896_Q2 pipeline_Pasta2" xfId="646" xr:uid="{00000000-0005-0000-0000-00004F040000}"/>
    <cellStyle name="c_~0031896_Q2 pipeline_Pasta2 2" xfId="6685" xr:uid="{00000000-0005-0000-0000-000050040000}"/>
    <cellStyle name="c_Acc (Dil) Matrix (2)" xfId="647" xr:uid="{00000000-0005-0000-0000-000051040000}"/>
    <cellStyle name="c_Acc (Dil) Matrix (2)_Comparativo VP FIN v1_So 2008" xfId="6686" xr:uid="{00000000-0005-0000-0000-000052040000}"/>
    <cellStyle name="c_Acc (Dil) Matrix (2)_Comparativo VP MKT 2008 v1_So 2008" xfId="6687" xr:uid="{00000000-0005-0000-0000-000053040000}"/>
    <cellStyle name="c_Acc (Dil) Matrix (2)_Comparativo VP TEC 2008 v1_So 2008" xfId="6688" xr:uid="{00000000-0005-0000-0000-000054040000}"/>
    <cellStyle name="c_Acc (Dil) Matrix (2)_Comparativo VP TEC 2008_Luiz Sergio" xfId="6689" xr:uid="{00000000-0005-0000-0000-000055040000}"/>
    <cellStyle name="c_Acc (Dil) Matrix (2)_Cópia de Modelo - Fluxo de Caixa Orcamento 09052009_V36_3" xfId="648" xr:uid="{00000000-0005-0000-0000-000056040000}"/>
    <cellStyle name="c_Acc (Dil) Matrix (2)_Fluxo de Caixa Orcamento FINAL_13052009" xfId="649" xr:uid="{00000000-0005-0000-0000-000057040000}"/>
    <cellStyle name="c_Acc (Dil) Matrix (2)_FM_dummyV4" xfId="650" xr:uid="{00000000-0005-0000-0000-000058040000}"/>
    <cellStyle name="c_Acc (Dil) Matrix (2)_lalur" xfId="651" xr:uid="{00000000-0005-0000-0000-000059040000}"/>
    <cellStyle name="c_Acc (Dil) Matrix (2)_Leasing_V3" xfId="652" xr:uid="{00000000-0005-0000-0000-00005A040000}"/>
    <cellStyle name="c_Acc (Dil) Matrix (2)_MODELO PDP III" xfId="653" xr:uid="{00000000-0005-0000-0000-00005B040000}"/>
    <cellStyle name="c_Acc (Dil) Matrix (2)_ORÇ_2009" xfId="654" xr:uid="{00000000-0005-0000-0000-00005C040000}"/>
    <cellStyle name="c_Acc (Dil) Matrix (2)_Pasta2" xfId="655" xr:uid="{00000000-0005-0000-0000-00005D040000}"/>
    <cellStyle name="c_Ariz_Nevada (2)" xfId="656" xr:uid="{00000000-0005-0000-0000-00005E040000}"/>
    <cellStyle name="c_Ariz_Nevada (2)_Comparativo VP FIN v1_So 2008" xfId="6690" xr:uid="{00000000-0005-0000-0000-00005F040000}"/>
    <cellStyle name="c_Ariz_Nevada (2)_Comparativo VP MKT 2008 v1_So 2008" xfId="6691" xr:uid="{00000000-0005-0000-0000-000060040000}"/>
    <cellStyle name="c_Ariz_Nevada (2)_Comparativo VP TEC 2008 v1_So 2008" xfId="6692" xr:uid="{00000000-0005-0000-0000-000061040000}"/>
    <cellStyle name="c_Ariz_Nevada (2)_Comparativo VP TEC 2008_Luiz Sergio" xfId="6693" xr:uid="{00000000-0005-0000-0000-000062040000}"/>
    <cellStyle name="c_Ariz_Nevada (2)_Cópia de Modelo - Fluxo de Caixa Orcamento 09052009_V36_3" xfId="657" xr:uid="{00000000-0005-0000-0000-000063040000}"/>
    <cellStyle name="c_Ariz_Nevada (2)_Fluxo de Caixa Orcamento FINAL_13052009" xfId="658" xr:uid="{00000000-0005-0000-0000-000064040000}"/>
    <cellStyle name="c_Ariz_Nevada (2)_FM_dummyV4" xfId="659" xr:uid="{00000000-0005-0000-0000-000065040000}"/>
    <cellStyle name="c_Ariz_Nevada (2)_lalur" xfId="660" xr:uid="{00000000-0005-0000-0000-000066040000}"/>
    <cellStyle name="c_Ariz_Nevada (2)_Leasing_V3" xfId="661" xr:uid="{00000000-0005-0000-0000-000067040000}"/>
    <cellStyle name="c_Ariz_Nevada (2)_MODELO PDP III" xfId="662" xr:uid="{00000000-0005-0000-0000-000068040000}"/>
    <cellStyle name="c_Ariz_Nevada (2)_ORÇ_2009" xfId="663" xr:uid="{00000000-0005-0000-0000-000069040000}"/>
    <cellStyle name="c_Ariz_Nevada (2)_Pasta2" xfId="664" xr:uid="{00000000-0005-0000-0000-00006A040000}"/>
    <cellStyle name="c_Bal Sheets" xfId="665" xr:uid="{00000000-0005-0000-0000-00006B040000}"/>
    <cellStyle name="c_Bal Sheets (2)" xfId="666" xr:uid="{00000000-0005-0000-0000-00006C040000}"/>
    <cellStyle name="c_Bal Sheets (2)_Comparativo VP FIN v1_So 2008" xfId="6694" xr:uid="{00000000-0005-0000-0000-00006D040000}"/>
    <cellStyle name="c_Bal Sheets (2)_Comparativo VP MKT 2008 v1_So 2008" xfId="6695" xr:uid="{00000000-0005-0000-0000-00006E040000}"/>
    <cellStyle name="c_Bal Sheets (2)_Comparativo VP TEC 2008 v1_So 2008" xfId="6696" xr:uid="{00000000-0005-0000-0000-00006F040000}"/>
    <cellStyle name="c_Bal Sheets (2)_Comparativo VP TEC 2008_Luiz Sergio" xfId="6697" xr:uid="{00000000-0005-0000-0000-000070040000}"/>
    <cellStyle name="c_Bal Sheets (2)_Cópia de Modelo - Fluxo de Caixa Orcamento 09052009_V36_3" xfId="667" xr:uid="{00000000-0005-0000-0000-000071040000}"/>
    <cellStyle name="c_Bal Sheets (2)_Fluxo de Caixa Orcamento FINAL_13052009" xfId="668" xr:uid="{00000000-0005-0000-0000-000072040000}"/>
    <cellStyle name="c_Bal Sheets (2)_FM_dummyV4" xfId="669" xr:uid="{00000000-0005-0000-0000-000073040000}"/>
    <cellStyle name="c_Bal Sheets (2)_lalur" xfId="670" xr:uid="{00000000-0005-0000-0000-000074040000}"/>
    <cellStyle name="c_Bal Sheets (2)_Leasing_V3" xfId="671" xr:uid="{00000000-0005-0000-0000-000075040000}"/>
    <cellStyle name="c_Bal Sheets (2)_MODELO PDP III" xfId="672" xr:uid="{00000000-0005-0000-0000-000076040000}"/>
    <cellStyle name="c_Bal Sheets (2)_ORÇ_2009" xfId="673" xr:uid="{00000000-0005-0000-0000-000077040000}"/>
    <cellStyle name="c_Bal Sheets (2)_Pasta2" xfId="674" xr:uid="{00000000-0005-0000-0000-000078040000}"/>
    <cellStyle name="c_Bal Sheets_Comparativo VP FIN v1_So 2008" xfId="6698" xr:uid="{00000000-0005-0000-0000-000079040000}"/>
    <cellStyle name="c_Bal Sheets_Comparativo VP MKT 2008 v1_So 2008" xfId="6699" xr:uid="{00000000-0005-0000-0000-00007A040000}"/>
    <cellStyle name="c_Bal Sheets_Comparativo VP TEC 2008 v1_So 2008" xfId="6700" xr:uid="{00000000-0005-0000-0000-00007B040000}"/>
    <cellStyle name="c_Bal Sheets_Comparativo VP TEC 2008_Luiz Sergio" xfId="6701" xr:uid="{00000000-0005-0000-0000-00007C040000}"/>
    <cellStyle name="c_Bal Sheets_Cópia de Modelo - Fluxo de Caixa Orcamento 09052009_V36_3" xfId="675" xr:uid="{00000000-0005-0000-0000-00007D040000}"/>
    <cellStyle name="c_Bal Sheets_Fluxo de Caixa Orcamento FINAL_13052009" xfId="676" xr:uid="{00000000-0005-0000-0000-00007E040000}"/>
    <cellStyle name="c_Bal Sheets_FM_dummyV4" xfId="677" xr:uid="{00000000-0005-0000-0000-00007F040000}"/>
    <cellStyle name="c_Bal Sheets_lalur" xfId="678" xr:uid="{00000000-0005-0000-0000-000080040000}"/>
    <cellStyle name="c_Bal Sheets_Leasing_V3" xfId="679" xr:uid="{00000000-0005-0000-0000-000081040000}"/>
    <cellStyle name="c_Bal Sheets_MODELO PDP III" xfId="680" xr:uid="{00000000-0005-0000-0000-000082040000}"/>
    <cellStyle name="c_Bal Sheets_ORÇ_2009" xfId="681" xr:uid="{00000000-0005-0000-0000-000083040000}"/>
    <cellStyle name="c_Bal Sheets_Pasta2" xfId="682" xr:uid="{00000000-0005-0000-0000-000084040000}"/>
    <cellStyle name="c_Base Apresentação" xfId="6702" xr:uid="{00000000-0005-0000-0000-000085040000}"/>
    <cellStyle name="c_Base Apresentação 2" xfId="9480" xr:uid="{00000000-0005-0000-0000-000086040000}"/>
    <cellStyle name="c_Base Apresentação_Base ITR Set-10 - Ajustes Resmat" xfId="6703" xr:uid="{00000000-0005-0000-0000-000087040000}"/>
    <cellStyle name="c_CA Cases (2)" xfId="683" xr:uid="{00000000-0005-0000-0000-000088040000}"/>
    <cellStyle name="c_CA Cases (2)_Comparativo VP FIN v1_So 2008" xfId="6704" xr:uid="{00000000-0005-0000-0000-000089040000}"/>
    <cellStyle name="c_CA Cases (2)_Comparativo VP MKT 2008 v1_So 2008" xfId="6705" xr:uid="{00000000-0005-0000-0000-00008A040000}"/>
    <cellStyle name="c_CA Cases (2)_Comparativo VP TEC 2008 v1_So 2008" xfId="6706" xr:uid="{00000000-0005-0000-0000-00008B040000}"/>
    <cellStyle name="c_CA Cases (2)_Comparativo VP TEC 2008_Luiz Sergio" xfId="6707" xr:uid="{00000000-0005-0000-0000-00008C040000}"/>
    <cellStyle name="c_CA Cases (2)_Cópia de Modelo - Fluxo de Caixa Orcamento 09052009_V36_3" xfId="684" xr:uid="{00000000-0005-0000-0000-00008D040000}"/>
    <cellStyle name="c_CA Cases (2)_Fluxo de Caixa Orcamento FINAL_13052009" xfId="685" xr:uid="{00000000-0005-0000-0000-00008E040000}"/>
    <cellStyle name="c_CA Cases (2)_FM_dummyV4" xfId="686" xr:uid="{00000000-0005-0000-0000-00008F040000}"/>
    <cellStyle name="c_CA Cases (2)_lalur" xfId="687" xr:uid="{00000000-0005-0000-0000-000090040000}"/>
    <cellStyle name="c_CA Cases (2)_Leasing_V3" xfId="688" xr:uid="{00000000-0005-0000-0000-000091040000}"/>
    <cellStyle name="c_CA Cases (2)_MODELO PDP III" xfId="689" xr:uid="{00000000-0005-0000-0000-000092040000}"/>
    <cellStyle name="c_CA Cases (2)_ORÇ_2009" xfId="690" xr:uid="{00000000-0005-0000-0000-000093040000}"/>
    <cellStyle name="c_CA Cases (2)_Pasta2" xfId="691" xr:uid="{00000000-0005-0000-0000-000094040000}"/>
    <cellStyle name="c_Cal. (2)" xfId="692" xr:uid="{00000000-0005-0000-0000-000095040000}"/>
    <cellStyle name="c_Cal. (2)_Comparativo VP FIN v1_So 2008" xfId="6708" xr:uid="{00000000-0005-0000-0000-000096040000}"/>
    <cellStyle name="c_Cal. (2)_Comparativo VP MKT 2008 v1_So 2008" xfId="6709" xr:uid="{00000000-0005-0000-0000-000097040000}"/>
    <cellStyle name="c_Cal. (2)_Comparativo VP TEC 2008 v1_So 2008" xfId="6710" xr:uid="{00000000-0005-0000-0000-000098040000}"/>
    <cellStyle name="c_Cal. (2)_Comparativo VP TEC 2008_Luiz Sergio" xfId="6711" xr:uid="{00000000-0005-0000-0000-000099040000}"/>
    <cellStyle name="c_Cal. (2)_Cópia de Modelo - Fluxo de Caixa Orcamento 09052009_V36_3" xfId="693" xr:uid="{00000000-0005-0000-0000-00009A040000}"/>
    <cellStyle name="c_Cal. (2)_Fluxo de Caixa Orcamento FINAL_13052009" xfId="694" xr:uid="{00000000-0005-0000-0000-00009B040000}"/>
    <cellStyle name="c_Cal. (2)_FM_dummyV4" xfId="695" xr:uid="{00000000-0005-0000-0000-00009C040000}"/>
    <cellStyle name="c_Cal. (2)_lalur" xfId="696" xr:uid="{00000000-0005-0000-0000-00009D040000}"/>
    <cellStyle name="c_Cal. (2)_Leasing_V3" xfId="697" xr:uid="{00000000-0005-0000-0000-00009E040000}"/>
    <cellStyle name="c_Cal. (2)_MODELO PDP III" xfId="698" xr:uid="{00000000-0005-0000-0000-00009F040000}"/>
    <cellStyle name="c_Cal. (2)_ORÇ_2009" xfId="699" xr:uid="{00000000-0005-0000-0000-0000A0040000}"/>
    <cellStyle name="c_Cal. (2)_Pasta2" xfId="700" xr:uid="{00000000-0005-0000-0000-0000A1040000}"/>
    <cellStyle name="c_Cases (2)" xfId="701" xr:uid="{00000000-0005-0000-0000-0000A2040000}"/>
    <cellStyle name="c_Cases (2)_Comparativo VP FIN v1_So 2008" xfId="6712" xr:uid="{00000000-0005-0000-0000-0000A3040000}"/>
    <cellStyle name="c_Cases (2)_Comparativo VP MKT 2008 v1_So 2008" xfId="6713" xr:uid="{00000000-0005-0000-0000-0000A4040000}"/>
    <cellStyle name="c_Cases (2)_Comparativo VP TEC 2008 v1_So 2008" xfId="6714" xr:uid="{00000000-0005-0000-0000-0000A5040000}"/>
    <cellStyle name="c_Cases (2)_Comparativo VP TEC 2008_Luiz Sergio" xfId="6715" xr:uid="{00000000-0005-0000-0000-0000A6040000}"/>
    <cellStyle name="c_Cases (2)_Cópia de Modelo - Fluxo de Caixa Orcamento 09052009_V36_3" xfId="702" xr:uid="{00000000-0005-0000-0000-0000A7040000}"/>
    <cellStyle name="c_Cases (2)_Fluxo de Caixa Orcamento FINAL_13052009" xfId="703" xr:uid="{00000000-0005-0000-0000-0000A8040000}"/>
    <cellStyle name="c_Cases (2)_FM_dummyV4" xfId="704" xr:uid="{00000000-0005-0000-0000-0000A9040000}"/>
    <cellStyle name="c_Cases (2)_lalur" xfId="705" xr:uid="{00000000-0005-0000-0000-0000AA040000}"/>
    <cellStyle name="c_Cases (2)_Leasing_V3" xfId="706" xr:uid="{00000000-0005-0000-0000-0000AB040000}"/>
    <cellStyle name="c_Cases (2)_MODELO PDP III" xfId="707" xr:uid="{00000000-0005-0000-0000-0000AC040000}"/>
    <cellStyle name="c_Cases (2)_ORÇ_2009" xfId="708" xr:uid="{00000000-0005-0000-0000-0000AD040000}"/>
    <cellStyle name="c_Cases (2)_Pasta2" xfId="709" xr:uid="{00000000-0005-0000-0000-0000AE040000}"/>
    <cellStyle name="c_Celtic DCF" xfId="710" xr:uid="{00000000-0005-0000-0000-0000AF040000}"/>
    <cellStyle name="c_Celtic DCF Inputs" xfId="711" xr:uid="{00000000-0005-0000-0000-0000B0040000}"/>
    <cellStyle name="c_Celtic DCF Inputs_Comparativo VP FIN v1_So 2008" xfId="6716" xr:uid="{00000000-0005-0000-0000-0000B1040000}"/>
    <cellStyle name="c_Celtic DCF Inputs_Comparativo VP MKT 2008 v1_So 2008" xfId="6717" xr:uid="{00000000-0005-0000-0000-0000B2040000}"/>
    <cellStyle name="c_Celtic DCF Inputs_Comparativo VP TEC 2008 v1_So 2008" xfId="6718" xr:uid="{00000000-0005-0000-0000-0000B3040000}"/>
    <cellStyle name="c_Celtic DCF Inputs_Comparativo VP TEC 2008_Luiz Sergio" xfId="6719" xr:uid="{00000000-0005-0000-0000-0000B4040000}"/>
    <cellStyle name="c_Celtic DCF Inputs_Cópia de Modelo - Fluxo de Caixa Orcamento 09052009_V36_3" xfId="712" xr:uid="{00000000-0005-0000-0000-0000B5040000}"/>
    <cellStyle name="c_Celtic DCF Inputs_Fluxo de Caixa Orcamento FINAL_13052009" xfId="713" xr:uid="{00000000-0005-0000-0000-0000B6040000}"/>
    <cellStyle name="c_Celtic DCF Inputs_FM_dummyV4" xfId="714" xr:uid="{00000000-0005-0000-0000-0000B7040000}"/>
    <cellStyle name="c_Celtic DCF Inputs_lalur" xfId="715" xr:uid="{00000000-0005-0000-0000-0000B8040000}"/>
    <cellStyle name="c_Celtic DCF Inputs_Leasing_V3" xfId="716" xr:uid="{00000000-0005-0000-0000-0000B9040000}"/>
    <cellStyle name="c_Celtic DCF Inputs_MODELO PDP III" xfId="717" xr:uid="{00000000-0005-0000-0000-0000BA040000}"/>
    <cellStyle name="c_Celtic DCF Inputs_ORÇ_2009" xfId="718" xr:uid="{00000000-0005-0000-0000-0000BB040000}"/>
    <cellStyle name="c_Celtic DCF Inputs_Pasta2" xfId="719" xr:uid="{00000000-0005-0000-0000-0000BC040000}"/>
    <cellStyle name="c_Celtic DCF_Comparativo VP FIN v1_So 2008" xfId="6720" xr:uid="{00000000-0005-0000-0000-0000BD040000}"/>
    <cellStyle name="c_Celtic DCF_Comparativo VP MKT 2008 v1_So 2008" xfId="6721" xr:uid="{00000000-0005-0000-0000-0000BE040000}"/>
    <cellStyle name="c_Celtic DCF_Comparativo VP TEC 2008 v1_So 2008" xfId="6722" xr:uid="{00000000-0005-0000-0000-0000BF040000}"/>
    <cellStyle name="c_Celtic DCF_Comparativo VP TEC 2008_Luiz Sergio" xfId="6723" xr:uid="{00000000-0005-0000-0000-0000C0040000}"/>
    <cellStyle name="c_Celtic DCF_Cópia de Modelo - Fluxo de Caixa Orcamento 09052009_V36_3" xfId="720" xr:uid="{00000000-0005-0000-0000-0000C1040000}"/>
    <cellStyle name="c_Celtic DCF_Fluxo de Caixa Orcamento FINAL_13052009" xfId="721" xr:uid="{00000000-0005-0000-0000-0000C2040000}"/>
    <cellStyle name="c_Celtic DCF_FM_dummyV4" xfId="722" xr:uid="{00000000-0005-0000-0000-0000C3040000}"/>
    <cellStyle name="c_Celtic DCF_lalur" xfId="723" xr:uid="{00000000-0005-0000-0000-0000C4040000}"/>
    <cellStyle name="c_Celtic DCF_Leasing_V3" xfId="724" xr:uid="{00000000-0005-0000-0000-0000C5040000}"/>
    <cellStyle name="c_Celtic DCF_MODELO PDP III" xfId="725" xr:uid="{00000000-0005-0000-0000-0000C6040000}"/>
    <cellStyle name="c_Celtic DCF_ORÇ_2009" xfId="726" xr:uid="{00000000-0005-0000-0000-0000C7040000}"/>
    <cellStyle name="c_Celtic DCF_Pasta2" xfId="727" xr:uid="{00000000-0005-0000-0000-0000C8040000}"/>
    <cellStyle name="c_Comparativo VP FIN v1_So 2008" xfId="6724" xr:uid="{00000000-0005-0000-0000-0000C9040000}"/>
    <cellStyle name="c_Comparativo VP MKT 2008 v1_So 2008" xfId="6725" xr:uid="{00000000-0005-0000-0000-0000CA040000}"/>
    <cellStyle name="c_Comparativo VP TEC 2008 v1_So 2008" xfId="6726" xr:uid="{00000000-0005-0000-0000-0000CB040000}"/>
    <cellStyle name="c_Comparativo VP TEC 2008_Luiz Sergio" xfId="6727" xr:uid="{00000000-0005-0000-0000-0000CC040000}"/>
    <cellStyle name="c_Controle - Dívidas_Orcamento" xfId="6728" xr:uid="{00000000-0005-0000-0000-0000CD040000}"/>
    <cellStyle name="c_Cópia de Modelo - Fluxo de Caixa Orcamento 09052009_V36_3" xfId="728" xr:uid="{00000000-0005-0000-0000-0000CE040000}"/>
    <cellStyle name="c_Credit (2)" xfId="729" xr:uid="{00000000-0005-0000-0000-0000CF040000}"/>
    <cellStyle name="c_Credit (2)_Comparativo VP FIN v1_So 2008" xfId="6729" xr:uid="{00000000-0005-0000-0000-0000D0040000}"/>
    <cellStyle name="c_Credit (2)_Comparativo VP MKT 2008 v1_So 2008" xfId="6730" xr:uid="{00000000-0005-0000-0000-0000D1040000}"/>
    <cellStyle name="c_Credit (2)_Comparativo VP TEC 2008 v1_So 2008" xfId="6731" xr:uid="{00000000-0005-0000-0000-0000D2040000}"/>
    <cellStyle name="c_Credit (2)_Comparativo VP TEC 2008_Luiz Sergio" xfId="6732" xr:uid="{00000000-0005-0000-0000-0000D3040000}"/>
    <cellStyle name="c_Credit (2)_Cópia de Modelo - Fluxo de Caixa Orcamento 09052009_V36_3" xfId="730" xr:uid="{00000000-0005-0000-0000-0000D4040000}"/>
    <cellStyle name="c_Credit (2)_Fluxo de Caixa Orcamento FINAL_13052009" xfId="731" xr:uid="{00000000-0005-0000-0000-0000D5040000}"/>
    <cellStyle name="c_Credit (2)_FM_dummyV4" xfId="732" xr:uid="{00000000-0005-0000-0000-0000D6040000}"/>
    <cellStyle name="c_Credit (2)_lalur" xfId="733" xr:uid="{00000000-0005-0000-0000-0000D7040000}"/>
    <cellStyle name="c_Credit (2)_Leasing_V3" xfId="734" xr:uid="{00000000-0005-0000-0000-0000D8040000}"/>
    <cellStyle name="c_Credit (2)_MODELO PDP III" xfId="735" xr:uid="{00000000-0005-0000-0000-0000D9040000}"/>
    <cellStyle name="c_Credit (2)_ORÇ_2009" xfId="736" xr:uid="{00000000-0005-0000-0000-0000DA040000}"/>
    <cellStyle name="c_Credit (2)_Pasta2" xfId="737" xr:uid="{00000000-0005-0000-0000-0000DB040000}"/>
    <cellStyle name="c_Credit Buildup (2)" xfId="738" xr:uid="{00000000-0005-0000-0000-0000DC040000}"/>
    <cellStyle name="c_Credit Buildup (2)_Comparativo VP FIN v1_So 2008" xfId="6733" xr:uid="{00000000-0005-0000-0000-0000DD040000}"/>
    <cellStyle name="c_Credit Buildup (2)_Comparativo VP MKT 2008 v1_So 2008" xfId="6734" xr:uid="{00000000-0005-0000-0000-0000DE040000}"/>
    <cellStyle name="c_Credit Buildup (2)_Comparativo VP TEC 2008 v1_So 2008" xfId="6735" xr:uid="{00000000-0005-0000-0000-0000DF040000}"/>
    <cellStyle name="c_Credit Buildup (2)_Comparativo VP TEC 2008_Luiz Sergio" xfId="6736" xr:uid="{00000000-0005-0000-0000-0000E0040000}"/>
    <cellStyle name="c_Credit Buildup (2)_Cópia de Modelo - Fluxo de Caixa Orcamento 09052009_V36_3" xfId="739" xr:uid="{00000000-0005-0000-0000-0000E1040000}"/>
    <cellStyle name="c_Credit Buildup (2)_Fluxo de Caixa Orcamento FINAL_13052009" xfId="740" xr:uid="{00000000-0005-0000-0000-0000E2040000}"/>
    <cellStyle name="c_Credit Buildup (2)_FM_dummyV4" xfId="741" xr:uid="{00000000-0005-0000-0000-0000E3040000}"/>
    <cellStyle name="c_Credit Buildup (2)_lalur" xfId="742" xr:uid="{00000000-0005-0000-0000-0000E4040000}"/>
    <cellStyle name="c_Credit Buildup (2)_Leasing_V3" xfId="743" xr:uid="{00000000-0005-0000-0000-0000E5040000}"/>
    <cellStyle name="c_Credit Buildup (2)_MODELO PDP III" xfId="744" xr:uid="{00000000-0005-0000-0000-0000E6040000}"/>
    <cellStyle name="c_Credit Buildup (2)_ORÇ_2009" xfId="745" xr:uid="{00000000-0005-0000-0000-0000E7040000}"/>
    <cellStyle name="c_Credit Buildup (2)_Pasta2" xfId="746" xr:uid="{00000000-0005-0000-0000-0000E8040000}"/>
    <cellStyle name="c_CredSens" xfId="747" xr:uid="{00000000-0005-0000-0000-0000E9040000}"/>
    <cellStyle name="c_CredSens_Comparativo VP FIN v1_So 2008" xfId="6737" xr:uid="{00000000-0005-0000-0000-0000EA040000}"/>
    <cellStyle name="c_CredSens_Comparativo VP MKT 2008 v1_So 2008" xfId="6738" xr:uid="{00000000-0005-0000-0000-0000EB040000}"/>
    <cellStyle name="c_CredSens_Comparativo VP TEC 2008 v1_So 2008" xfId="6739" xr:uid="{00000000-0005-0000-0000-0000EC040000}"/>
    <cellStyle name="c_CredSens_Comparativo VP TEC 2008_Luiz Sergio" xfId="6740" xr:uid="{00000000-0005-0000-0000-0000ED040000}"/>
    <cellStyle name="c_CredSens_Cópia de Modelo - Fluxo de Caixa Orcamento 09052009_V36_3" xfId="748" xr:uid="{00000000-0005-0000-0000-0000EE040000}"/>
    <cellStyle name="c_CredSens_Fluxo de Caixa Orcamento FINAL_13052009" xfId="749" xr:uid="{00000000-0005-0000-0000-0000EF040000}"/>
    <cellStyle name="c_CredSens_FM_dummyV4" xfId="750" xr:uid="{00000000-0005-0000-0000-0000F0040000}"/>
    <cellStyle name="c_CredSens_lalur" xfId="751" xr:uid="{00000000-0005-0000-0000-0000F1040000}"/>
    <cellStyle name="c_CredSens_Leasing_V3" xfId="752" xr:uid="{00000000-0005-0000-0000-0000F2040000}"/>
    <cellStyle name="c_CredSens_MODELO PDP III" xfId="753" xr:uid="{00000000-0005-0000-0000-0000F3040000}"/>
    <cellStyle name="c_CredSens_ORÇ_2009" xfId="754" xr:uid="{00000000-0005-0000-0000-0000F4040000}"/>
    <cellStyle name="c_CredSens_Pasta2" xfId="755" xr:uid="{00000000-0005-0000-0000-0000F5040000}"/>
    <cellStyle name="c_Daily Treasury Report- Fevereiro" xfId="756" xr:uid="{00000000-0005-0000-0000-0000F6040000}"/>
    <cellStyle name="c_Daily Treasury Report- Fevereiro_BNDES - Calculo novo" xfId="6741" xr:uid="{00000000-0005-0000-0000-0000F7040000}"/>
    <cellStyle name="c_Daily Treasury Report- Fevereiro_BNDES - NOVO" xfId="6742" xr:uid="{00000000-0005-0000-0000-0000F8040000}"/>
    <cellStyle name="c_Daily Treasury Report- Fevereiro_Controle Dívida LP" xfId="6743" xr:uid="{00000000-0005-0000-0000-0000F9040000}"/>
    <cellStyle name="c_Daily Treasury Report- Fevereiro_Controle Dívida LP - NOVO" xfId="6744" xr:uid="{00000000-0005-0000-0000-0000FA040000}"/>
    <cellStyle name="c_Daily Treasury Report- Fevereiro_Controle Empréstimos" xfId="6745" xr:uid="{00000000-0005-0000-0000-0000FB040000}"/>
    <cellStyle name="c_Daily Treasury Report- Fevereiro_Emprest CSFB OK" xfId="6746" xr:uid="{00000000-0005-0000-0000-0000FC040000}"/>
    <cellStyle name="c_Daily Treasury Report- Fevereiro_Novo Financiamento BNDES" xfId="6747" xr:uid="{00000000-0005-0000-0000-0000FD040000}"/>
    <cellStyle name="c_Daily Treasury Report- Fevereiro_Suporte DFs - V2.0" xfId="6748" xr:uid="{00000000-0005-0000-0000-0000FE040000}"/>
    <cellStyle name="c_Daily Treasury Report- Fevereiro_teste" xfId="6749" xr:uid="{00000000-0005-0000-0000-0000FF040000}"/>
    <cellStyle name="c_DCF Inputs (2)" xfId="757" xr:uid="{00000000-0005-0000-0000-000000050000}"/>
    <cellStyle name="c_DCF Inputs (2)_Comparativo VP FIN v1_So 2008" xfId="6750" xr:uid="{00000000-0005-0000-0000-000001050000}"/>
    <cellStyle name="c_DCF Inputs (2)_Comparativo VP MKT 2008 v1_So 2008" xfId="6751" xr:uid="{00000000-0005-0000-0000-000002050000}"/>
    <cellStyle name="c_DCF Inputs (2)_Comparativo VP TEC 2008 v1_So 2008" xfId="6752" xr:uid="{00000000-0005-0000-0000-000003050000}"/>
    <cellStyle name="c_DCF Inputs (2)_Comparativo VP TEC 2008_Luiz Sergio" xfId="6753" xr:uid="{00000000-0005-0000-0000-000004050000}"/>
    <cellStyle name="c_DCF Inputs (2)_Cópia de Modelo - Fluxo de Caixa Orcamento 09052009_V36_3" xfId="758" xr:uid="{00000000-0005-0000-0000-000005050000}"/>
    <cellStyle name="c_DCF Inputs (2)_Fluxo de Caixa Orcamento FINAL_13052009" xfId="759" xr:uid="{00000000-0005-0000-0000-000006050000}"/>
    <cellStyle name="c_DCF Inputs (2)_FM_dummyV4" xfId="760" xr:uid="{00000000-0005-0000-0000-000007050000}"/>
    <cellStyle name="c_DCF Inputs (2)_lalur" xfId="761" xr:uid="{00000000-0005-0000-0000-000008050000}"/>
    <cellStyle name="c_DCF Inputs (2)_Leasing_V3" xfId="762" xr:uid="{00000000-0005-0000-0000-000009050000}"/>
    <cellStyle name="c_DCF Inputs (2)_MODELO PDP III" xfId="763" xr:uid="{00000000-0005-0000-0000-00000A050000}"/>
    <cellStyle name="c_DCF Inputs (2)_ORÇ_2009" xfId="764" xr:uid="{00000000-0005-0000-0000-00000B050000}"/>
    <cellStyle name="c_DCF Inputs (2)_Pasta2" xfId="765" xr:uid="{00000000-0005-0000-0000-00000C050000}"/>
    <cellStyle name="c_DCF Matrix (2)" xfId="766" xr:uid="{00000000-0005-0000-0000-00000D050000}"/>
    <cellStyle name="c_DCF Matrix (2)_Comparativo VP FIN v1_So 2008" xfId="6754" xr:uid="{00000000-0005-0000-0000-00000E050000}"/>
    <cellStyle name="c_DCF Matrix (2)_Comparativo VP MKT 2008 v1_So 2008" xfId="6755" xr:uid="{00000000-0005-0000-0000-00000F050000}"/>
    <cellStyle name="c_DCF Matrix (2)_Comparativo VP TEC 2008 v1_So 2008" xfId="6756" xr:uid="{00000000-0005-0000-0000-000010050000}"/>
    <cellStyle name="c_DCF Matrix (2)_Comparativo VP TEC 2008_Luiz Sergio" xfId="6757" xr:uid="{00000000-0005-0000-0000-000011050000}"/>
    <cellStyle name="c_DCF Matrix (2)_Cópia de Modelo - Fluxo de Caixa Orcamento 09052009_V36_3" xfId="767" xr:uid="{00000000-0005-0000-0000-000012050000}"/>
    <cellStyle name="c_DCF Matrix (2)_Fluxo de Caixa Orcamento FINAL_13052009" xfId="768" xr:uid="{00000000-0005-0000-0000-000013050000}"/>
    <cellStyle name="c_DCF Matrix (2)_FM_dummyV4" xfId="769" xr:uid="{00000000-0005-0000-0000-000014050000}"/>
    <cellStyle name="c_DCF Matrix (2)_lalur" xfId="770" xr:uid="{00000000-0005-0000-0000-000015050000}"/>
    <cellStyle name="c_DCF Matrix (2)_Leasing_V3" xfId="771" xr:uid="{00000000-0005-0000-0000-000016050000}"/>
    <cellStyle name="c_DCF Matrix (2)_MODELO PDP III" xfId="772" xr:uid="{00000000-0005-0000-0000-000017050000}"/>
    <cellStyle name="c_DCF Matrix (2)_ORÇ_2009" xfId="773" xr:uid="{00000000-0005-0000-0000-000018050000}"/>
    <cellStyle name="c_DCF Matrix (2)_Pasta2" xfId="774" xr:uid="{00000000-0005-0000-0000-000019050000}"/>
    <cellStyle name="c_DCF output" xfId="775" xr:uid="{00000000-0005-0000-0000-00001A050000}"/>
    <cellStyle name="c_DCF output_Comparativo VP FIN v1_So 2008" xfId="6758" xr:uid="{00000000-0005-0000-0000-00001B050000}"/>
    <cellStyle name="c_DCF output_Comparativo VP MKT 2008 v1_So 2008" xfId="6759" xr:uid="{00000000-0005-0000-0000-00001C050000}"/>
    <cellStyle name="c_DCF output_Comparativo VP TEC 2008 v1_So 2008" xfId="6760" xr:uid="{00000000-0005-0000-0000-00001D050000}"/>
    <cellStyle name="c_DCF output_Comparativo VP TEC 2008_Luiz Sergio" xfId="6761" xr:uid="{00000000-0005-0000-0000-00001E050000}"/>
    <cellStyle name="c_DCF output_Cópia de Modelo - Fluxo de Caixa Orcamento 09052009_V36_3" xfId="776" xr:uid="{00000000-0005-0000-0000-00001F050000}"/>
    <cellStyle name="c_DCF output_Fluxo de Caixa Orcamento FINAL_13052009" xfId="777" xr:uid="{00000000-0005-0000-0000-000020050000}"/>
    <cellStyle name="c_DCF output_FM_dummyV4" xfId="778" xr:uid="{00000000-0005-0000-0000-000021050000}"/>
    <cellStyle name="c_DCF output_lalur" xfId="779" xr:uid="{00000000-0005-0000-0000-000022050000}"/>
    <cellStyle name="c_DCF output_Leasing_V3" xfId="780" xr:uid="{00000000-0005-0000-0000-000023050000}"/>
    <cellStyle name="c_DCF output_MODELO PDP III" xfId="781" xr:uid="{00000000-0005-0000-0000-000024050000}"/>
    <cellStyle name="c_DCF output_ORÇ_2009" xfId="782" xr:uid="{00000000-0005-0000-0000-000025050000}"/>
    <cellStyle name="c_DCF output_Pasta2" xfId="783" xr:uid="{00000000-0005-0000-0000-000026050000}"/>
    <cellStyle name="c_Deal" xfId="784" xr:uid="{00000000-0005-0000-0000-000027050000}"/>
    <cellStyle name="c_Deal_Comparativo VP FIN v1_So 2008" xfId="6762" xr:uid="{00000000-0005-0000-0000-000028050000}"/>
    <cellStyle name="c_Deal_Comparativo VP MKT 2008 v1_So 2008" xfId="6763" xr:uid="{00000000-0005-0000-0000-000029050000}"/>
    <cellStyle name="c_Deal_Comparativo VP TEC 2008 v1_So 2008" xfId="6764" xr:uid="{00000000-0005-0000-0000-00002A050000}"/>
    <cellStyle name="c_Deal_Comparativo VP TEC 2008_Luiz Sergio" xfId="6765" xr:uid="{00000000-0005-0000-0000-00002B050000}"/>
    <cellStyle name="c_Deal_Cópia de Modelo - Fluxo de Caixa Orcamento 09052009_V36_3" xfId="785" xr:uid="{00000000-0005-0000-0000-00002C050000}"/>
    <cellStyle name="c_Deal_Fluxo de Caixa Orcamento FINAL_13052009" xfId="786" xr:uid="{00000000-0005-0000-0000-00002D050000}"/>
    <cellStyle name="c_Deal_FM_dummyV4" xfId="787" xr:uid="{00000000-0005-0000-0000-00002E050000}"/>
    <cellStyle name="c_Deal_lalur" xfId="788" xr:uid="{00000000-0005-0000-0000-00002F050000}"/>
    <cellStyle name="c_Deal_Leasing_V3" xfId="789" xr:uid="{00000000-0005-0000-0000-000030050000}"/>
    <cellStyle name="c_Deal_MODELO PDP III" xfId="790" xr:uid="{00000000-0005-0000-0000-000031050000}"/>
    <cellStyle name="c_Deal_ORÇ_2009" xfId="791" xr:uid="{00000000-0005-0000-0000-000032050000}"/>
    <cellStyle name="c_Deal_Pasta2" xfId="792" xr:uid="{00000000-0005-0000-0000-000033050000}"/>
    <cellStyle name="c_Dental (2)" xfId="793" xr:uid="{00000000-0005-0000-0000-000034050000}"/>
    <cellStyle name="c_Dental (2)_Comparativo VP FIN v1_So 2008" xfId="6766" xr:uid="{00000000-0005-0000-0000-000035050000}"/>
    <cellStyle name="c_Dental (2)_Comparativo VP MKT 2008 v1_So 2008" xfId="6767" xr:uid="{00000000-0005-0000-0000-000036050000}"/>
    <cellStyle name="c_Dental (2)_Comparativo VP TEC 2008 v1_So 2008" xfId="6768" xr:uid="{00000000-0005-0000-0000-000037050000}"/>
    <cellStyle name="c_Dental (2)_Comparativo VP TEC 2008_Luiz Sergio" xfId="6769" xr:uid="{00000000-0005-0000-0000-000038050000}"/>
    <cellStyle name="c_Dental (2)_Cópia de Modelo - Fluxo de Caixa Orcamento 09052009_V36_3" xfId="794" xr:uid="{00000000-0005-0000-0000-000039050000}"/>
    <cellStyle name="c_Dental (2)_Fluxo de Caixa Orcamento FINAL_13052009" xfId="795" xr:uid="{00000000-0005-0000-0000-00003A050000}"/>
    <cellStyle name="c_Dental (2)_FM_dummyV4" xfId="796" xr:uid="{00000000-0005-0000-0000-00003B050000}"/>
    <cellStyle name="c_Dental (2)_lalur" xfId="797" xr:uid="{00000000-0005-0000-0000-00003C050000}"/>
    <cellStyle name="c_Dental (2)_Leasing_V3" xfId="798" xr:uid="{00000000-0005-0000-0000-00003D050000}"/>
    <cellStyle name="c_Dental (2)_MODELO PDP III" xfId="799" xr:uid="{00000000-0005-0000-0000-00003E050000}"/>
    <cellStyle name="c_Dental (2)_ORÇ_2009" xfId="800" xr:uid="{00000000-0005-0000-0000-00003F050000}"/>
    <cellStyle name="c_Dental (2)_Pasta2" xfId="801" xr:uid="{00000000-0005-0000-0000-000040050000}"/>
    <cellStyle name="c_Earnings" xfId="802" xr:uid="{00000000-0005-0000-0000-000041050000}"/>
    <cellStyle name="c_Earnings (2)" xfId="803" xr:uid="{00000000-0005-0000-0000-000042050000}"/>
    <cellStyle name="c_Earnings (2)_Comparativo VP FIN v1_So 2008" xfId="6770" xr:uid="{00000000-0005-0000-0000-000043050000}"/>
    <cellStyle name="c_Earnings (2)_Comparativo VP MKT 2008 v1_So 2008" xfId="6771" xr:uid="{00000000-0005-0000-0000-000044050000}"/>
    <cellStyle name="c_Earnings (2)_Comparativo VP TEC 2008 v1_So 2008" xfId="6772" xr:uid="{00000000-0005-0000-0000-000045050000}"/>
    <cellStyle name="c_Earnings (2)_Comparativo VP TEC 2008_Luiz Sergio" xfId="6773" xr:uid="{00000000-0005-0000-0000-000046050000}"/>
    <cellStyle name="c_Earnings (2)_Cópia de Modelo - Fluxo de Caixa Orcamento 09052009_V36_3" xfId="804" xr:uid="{00000000-0005-0000-0000-000047050000}"/>
    <cellStyle name="c_Earnings (2)_Fluxo de Caixa Orcamento FINAL_13052009" xfId="805" xr:uid="{00000000-0005-0000-0000-000048050000}"/>
    <cellStyle name="c_Earnings (2)_FM_dummyV4" xfId="806" xr:uid="{00000000-0005-0000-0000-000049050000}"/>
    <cellStyle name="c_Earnings (2)_lalur" xfId="807" xr:uid="{00000000-0005-0000-0000-00004A050000}"/>
    <cellStyle name="c_Earnings (2)_Leasing_V3" xfId="808" xr:uid="{00000000-0005-0000-0000-00004B050000}"/>
    <cellStyle name="c_Earnings (2)_MODELO PDP III" xfId="809" xr:uid="{00000000-0005-0000-0000-00004C050000}"/>
    <cellStyle name="c_Earnings (2)_ORÇ_2009" xfId="810" xr:uid="{00000000-0005-0000-0000-00004D050000}"/>
    <cellStyle name="c_Earnings (2)_Pasta2" xfId="811" xr:uid="{00000000-0005-0000-0000-00004E050000}"/>
    <cellStyle name="c_Earnings_Comparativo VP FIN v1_So 2008" xfId="6774" xr:uid="{00000000-0005-0000-0000-00004F050000}"/>
    <cellStyle name="c_Earnings_Comparativo VP MKT 2008 v1_So 2008" xfId="6775" xr:uid="{00000000-0005-0000-0000-000050050000}"/>
    <cellStyle name="c_Earnings_Comparativo VP TEC 2008 v1_So 2008" xfId="6776" xr:uid="{00000000-0005-0000-0000-000051050000}"/>
    <cellStyle name="c_Earnings_Comparativo VP TEC 2008_Luiz Sergio" xfId="6777" xr:uid="{00000000-0005-0000-0000-000052050000}"/>
    <cellStyle name="c_Earnings_Cópia de Modelo - Fluxo de Caixa Orcamento 09052009_V36_3" xfId="812" xr:uid="{00000000-0005-0000-0000-000053050000}"/>
    <cellStyle name="c_Earnings_Fluxo de Caixa Orcamento FINAL_13052009" xfId="813" xr:uid="{00000000-0005-0000-0000-000054050000}"/>
    <cellStyle name="c_Earnings_FM_dummyV4" xfId="814" xr:uid="{00000000-0005-0000-0000-000055050000}"/>
    <cellStyle name="c_Earnings_lalur" xfId="815" xr:uid="{00000000-0005-0000-0000-000056050000}"/>
    <cellStyle name="c_Earnings_Leasing_V3" xfId="816" xr:uid="{00000000-0005-0000-0000-000057050000}"/>
    <cellStyle name="c_Earnings_MODELO PDP III" xfId="817" xr:uid="{00000000-0005-0000-0000-000058050000}"/>
    <cellStyle name="c_Earnings_ORÇ_2009" xfId="818" xr:uid="{00000000-0005-0000-0000-000059050000}"/>
    <cellStyle name="c_Earnings_Pasta2" xfId="819" xr:uid="{00000000-0005-0000-0000-00005A050000}"/>
    <cellStyle name="c_East Coast (2)" xfId="820" xr:uid="{00000000-0005-0000-0000-00005B050000}"/>
    <cellStyle name="c_East Coast (2)_Comparativo VP FIN v1_So 2008" xfId="6778" xr:uid="{00000000-0005-0000-0000-00005C050000}"/>
    <cellStyle name="c_East Coast (2)_Comparativo VP MKT 2008 v1_So 2008" xfId="6779" xr:uid="{00000000-0005-0000-0000-00005D050000}"/>
    <cellStyle name="c_East Coast (2)_Comparativo VP TEC 2008 v1_So 2008" xfId="6780" xr:uid="{00000000-0005-0000-0000-00005E050000}"/>
    <cellStyle name="c_East Coast (2)_Comparativo VP TEC 2008_Luiz Sergio" xfId="6781" xr:uid="{00000000-0005-0000-0000-00005F050000}"/>
    <cellStyle name="c_East Coast (2)_Cópia de Modelo - Fluxo de Caixa Orcamento 09052009_V36_3" xfId="821" xr:uid="{00000000-0005-0000-0000-000060050000}"/>
    <cellStyle name="c_East Coast (2)_Fluxo de Caixa Orcamento FINAL_13052009" xfId="822" xr:uid="{00000000-0005-0000-0000-000061050000}"/>
    <cellStyle name="c_East Coast (2)_FM_dummyV4" xfId="823" xr:uid="{00000000-0005-0000-0000-000062050000}"/>
    <cellStyle name="c_East Coast (2)_lalur" xfId="824" xr:uid="{00000000-0005-0000-0000-000063050000}"/>
    <cellStyle name="c_East Coast (2)_Leasing_V3" xfId="825" xr:uid="{00000000-0005-0000-0000-000064050000}"/>
    <cellStyle name="c_East Coast (2)_MODELO PDP III" xfId="826" xr:uid="{00000000-0005-0000-0000-000065050000}"/>
    <cellStyle name="c_East Coast (2)_ORÇ_2009" xfId="827" xr:uid="{00000000-0005-0000-0000-000066050000}"/>
    <cellStyle name="c_East Coast (2)_Pasta2" xfId="828" xr:uid="{00000000-0005-0000-0000-000067050000}"/>
    <cellStyle name="c_Florida (2)" xfId="829" xr:uid="{00000000-0005-0000-0000-000068050000}"/>
    <cellStyle name="c_Florida (2)_Comparativo VP FIN v1_So 2008" xfId="6782" xr:uid="{00000000-0005-0000-0000-000069050000}"/>
    <cellStyle name="c_Florida (2)_Comparativo VP MKT 2008 v1_So 2008" xfId="6783" xr:uid="{00000000-0005-0000-0000-00006A050000}"/>
    <cellStyle name="c_Florida (2)_Comparativo VP TEC 2008 v1_So 2008" xfId="6784" xr:uid="{00000000-0005-0000-0000-00006B050000}"/>
    <cellStyle name="c_Florida (2)_Comparativo VP TEC 2008_Luiz Sergio" xfId="6785" xr:uid="{00000000-0005-0000-0000-00006C050000}"/>
    <cellStyle name="c_Florida (2)_Cópia de Modelo - Fluxo de Caixa Orcamento 09052009_V36_3" xfId="830" xr:uid="{00000000-0005-0000-0000-00006D050000}"/>
    <cellStyle name="c_Florida (2)_Fluxo de Caixa Orcamento FINAL_13052009" xfId="831" xr:uid="{00000000-0005-0000-0000-00006E050000}"/>
    <cellStyle name="c_Florida (2)_FM_dummyV4" xfId="832" xr:uid="{00000000-0005-0000-0000-00006F050000}"/>
    <cellStyle name="c_Florida (2)_lalur" xfId="833" xr:uid="{00000000-0005-0000-0000-000070050000}"/>
    <cellStyle name="c_Florida (2)_Leasing_V3" xfId="834" xr:uid="{00000000-0005-0000-0000-000071050000}"/>
    <cellStyle name="c_Florida (2)_MODELO PDP III" xfId="835" xr:uid="{00000000-0005-0000-0000-000072050000}"/>
    <cellStyle name="c_Florida (2)_ORÇ_2009" xfId="836" xr:uid="{00000000-0005-0000-0000-000073050000}"/>
    <cellStyle name="c_Florida (2)_Pasta2" xfId="837" xr:uid="{00000000-0005-0000-0000-000074050000}"/>
    <cellStyle name="c_Fluxo de Caixa Orcamento FINAL_13052009" xfId="838" xr:uid="{00000000-0005-0000-0000-000075050000}"/>
    <cellStyle name="c_FM_dummyV4" xfId="839" xr:uid="{00000000-0005-0000-0000-000076050000}"/>
    <cellStyle name="c_Georgia (2)" xfId="840" xr:uid="{00000000-0005-0000-0000-000077050000}"/>
    <cellStyle name="c_Georgia (2)_Comparativo VP FIN v1_So 2008" xfId="6786" xr:uid="{00000000-0005-0000-0000-000078050000}"/>
    <cellStyle name="c_Georgia (2)_Comparativo VP MKT 2008 v1_So 2008" xfId="6787" xr:uid="{00000000-0005-0000-0000-000079050000}"/>
    <cellStyle name="c_Georgia (2)_Comparativo VP TEC 2008 v1_So 2008" xfId="6788" xr:uid="{00000000-0005-0000-0000-00007A050000}"/>
    <cellStyle name="c_Georgia (2)_Comparativo VP TEC 2008_Luiz Sergio" xfId="6789" xr:uid="{00000000-0005-0000-0000-00007B050000}"/>
    <cellStyle name="c_Georgia (2)_Cópia de Modelo - Fluxo de Caixa Orcamento 09052009_V36_3" xfId="841" xr:uid="{00000000-0005-0000-0000-00007C050000}"/>
    <cellStyle name="c_Georgia (2)_Fluxo de Caixa Orcamento FINAL_13052009" xfId="842" xr:uid="{00000000-0005-0000-0000-00007D050000}"/>
    <cellStyle name="c_Georgia (2)_FM_dummyV4" xfId="843" xr:uid="{00000000-0005-0000-0000-00007E050000}"/>
    <cellStyle name="c_Georgia (2)_lalur" xfId="844" xr:uid="{00000000-0005-0000-0000-00007F050000}"/>
    <cellStyle name="c_Georgia (2)_Leasing_V3" xfId="845" xr:uid="{00000000-0005-0000-0000-000080050000}"/>
    <cellStyle name="c_Georgia (2)_MODELO PDP III" xfId="846" xr:uid="{00000000-0005-0000-0000-000081050000}"/>
    <cellStyle name="c_Georgia (2)_ORÇ_2009" xfId="847" xr:uid="{00000000-0005-0000-0000-000082050000}"/>
    <cellStyle name="c_Georgia (2)_Pasta2" xfId="848" xr:uid="{00000000-0005-0000-0000-000083050000}"/>
    <cellStyle name="c_Hard Rock" xfId="849" xr:uid="{00000000-0005-0000-0000-000084050000}"/>
    <cellStyle name="c_Hard Rock (2)" xfId="850" xr:uid="{00000000-0005-0000-0000-000085050000}"/>
    <cellStyle name="c_Hard Rock (2)_Comparativo VP FIN v1_So 2008" xfId="6790" xr:uid="{00000000-0005-0000-0000-000086050000}"/>
    <cellStyle name="c_Hard Rock (2)_Comparativo VP MKT 2008 v1_So 2008" xfId="6791" xr:uid="{00000000-0005-0000-0000-000087050000}"/>
    <cellStyle name="c_Hard Rock (2)_Comparativo VP TEC 2008 v1_So 2008" xfId="6792" xr:uid="{00000000-0005-0000-0000-000088050000}"/>
    <cellStyle name="c_Hard Rock (2)_Comparativo VP TEC 2008_Luiz Sergio" xfId="6793" xr:uid="{00000000-0005-0000-0000-000089050000}"/>
    <cellStyle name="c_Hard Rock (2)_Cópia de Modelo - Fluxo de Caixa Orcamento 09052009_V36_3" xfId="851" xr:uid="{00000000-0005-0000-0000-00008A050000}"/>
    <cellStyle name="c_Hard Rock (2)_Fluxo de Caixa Orcamento FINAL_13052009" xfId="852" xr:uid="{00000000-0005-0000-0000-00008B050000}"/>
    <cellStyle name="c_Hard Rock (2)_FM_dummyV4" xfId="853" xr:uid="{00000000-0005-0000-0000-00008C050000}"/>
    <cellStyle name="c_Hard Rock (2)_lalur" xfId="854" xr:uid="{00000000-0005-0000-0000-00008D050000}"/>
    <cellStyle name="c_Hard Rock (2)_Leasing_V3" xfId="855" xr:uid="{00000000-0005-0000-0000-00008E050000}"/>
    <cellStyle name="c_Hard Rock (2)_MODELO PDP III" xfId="856" xr:uid="{00000000-0005-0000-0000-00008F050000}"/>
    <cellStyle name="c_Hard Rock (2)_ORÇ_2009" xfId="857" xr:uid="{00000000-0005-0000-0000-000090050000}"/>
    <cellStyle name="c_Hard Rock (2)_Pasta2" xfId="858" xr:uid="{00000000-0005-0000-0000-000091050000}"/>
    <cellStyle name="c_Hard Rock_Comparativo VP FIN v1_So 2008" xfId="6794" xr:uid="{00000000-0005-0000-0000-000092050000}"/>
    <cellStyle name="c_Hard Rock_Comparativo VP MKT 2008 v1_So 2008" xfId="6795" xr:uid="{00000000-0005-0000-0000-000093050000}"/>
    <cellStyle name="c_Hard Rock_Comparativo VP TEC 2008 v1_So 2008" xfId="6796" xr:uid="{00000000-0005-0000-0000-000094050000}"/>
    <cellStyle name="c_Hard Rock_Comparativo VP TEC 2008_Luiz Sergio" xfId="6797" xr:uid="{00000000-0005-0000-0000-000095050000}"/>
    <cellStyle name="c_Hard Rock_Cópia de Modelo - Fluxo de Caixa Orcamento 09052009_V36_3" xfId="859" xr:uid="{00000000-0005-0000-0000-000096050000}"/>
    <cellStyle name="c_Hard Rock_Fluxo de Caixa Orcamento FINAL_13052009" xfId="860" xr:uid="{00000000-0005-0000-0000-000097050000}"/>
    <cellStyle name="c_Hard Rock_FM_dummyV4" xfId="861" xr:uid="{00000000-0005-0000-0000-000098050000}"/>
    <cellStyle name="c_Hard Rock_lalur" xfId="862" xr:uid="{00000000-0005-0000-0000-000099050000}"/>
    <cellStyle name="c_Hard Rock_Leasing_V3" xfId="863" xr:uid="{00000000-0005-0000-0000-00009A050000}"/>
    <cellStyle name="c_Hard Rock_MODELO PDP III" xfId="864" xr:uid="{00000000-0005-0000-0000-00009B050000}"/>
    <cellStyle name="c_Hard Rock_ORÇ_2009" xfId="865" xr:uid="{00000000-0005-0000-0000-00009C050000}"/>
    <cellStyle name="c_Hard Rock_Pasta2" xfId="866" xr:uid="{00000000-0005-0000-0000-00009D050000}"/>
    <cellStyle name="c_HardInc " xfId="867" xr:uid="{00000000-0005-0000-0000-00009E050000}"/>
    <cellStyle name="c_HardInc  (2)" xfId="868" xr:uid="{00000000-0005-0000-0000-00009F050000}"/>
    <cellStyle name="c_HardInc  (2)_Comparativo VP FIN v1_So 2008" xfId="6798" xr:uid="{00000000-0005-0000-0000-0000A0050000}"/>
    <cellStyle name="c_HardInc  (2)_Comparativo VP MKT 2008 v1_So 2008" xfId="6799" xr:uid="{00000000-0005-0000-0000-0000A1050000}"/>
    <cellStyle name="c_HardInc  (2)_Comparativo VP TEC 2008 v1_So 2008" xfId="6800" xr:uid="{00000000-0005-0000-0000-0000A2050000}"/>
    <cellStyle name="c_HardInc  (2)_Comparativo VP TEC 2008_Luiz Sergio" xfId="6801" xr:uid="{00000000-0005-0000-0000-0000A3050000}"/>
    <cellStyle name="c_HardInc  (2)_Cópia de Modelo - Fluxo de Caixa Orcamento 09052009_V36_3" xfId="869" xr:uid="{00000000-0005-0000-0000-0000A4050000}"/>
    <cellStyle name="c_HardInc  (2)_Fluxo de Caixa Orcamento FINAL_13052009" xfId="870" xr:uid="{00000000-0005-0000-0000-0000A5050000}"/>
    <cellStyle name="c_HardInc  (2)_FM_dummyV4" xfId="871" xr:uid="{00000000-0005-0000-0000-0000A6050000}"/>
    <cellStyle name="c_HardInc  (2)_lalur" xfId="872" xr:uid="{00000000-0005-0000-0000-0000A7050000}"/>
    <cellStyle name="c_HardInc  (2)_Leasing_V3" xfId="873" xr:uid="{00000000-0005-0000-0000-0000A8050000}"/>
    <cellStyle name="c_HardInc  (2)_MODELO PDP III" xfId="874" xr:uid="{00000000-0005-0000-0000-0000A9050000}"/>
    <cellStyle name="c_HardInc  (2)_ORÇ_2009" xfId="875" xr:uid="{00000000-0005-0000-0000-0000AA050000}"/>
    <cellStyle name="c_HardInc  (2)_Pasta2" xfId="876" xr:uid="{00000000-0005-0000-0000-0000AB050000}"/>
    <cellStyle name="c_HardInc _Comparativo VP FIN v1_So 2008" xfId="6802" xr:uid="{00000000-0005-0000-0000-0000AC050000}"/>
    <cellStyle name="c_HardInc _Comparativo VP MKT 2008 v1_So 2008" xfId="6803" xr:uid="{00000000-0005-0000-0000-0000AD050000}"/>
    <cellStyle name="c_HardInc _Comparativo VP TEC 2008 v1_So 2008" xfId="6804" xr:uid="{00000000-0005-0000-0000-0000AE050000}"/>
    <cellStyle name="c_HardInc _Comparativo VP TEC 2008_Luiz Sergio" xfId="6805" xr:uid="{00000000-0005-0000-0000-0000AF050000}"/>
    <cellStyle name="c_HardInc _Cópia de Modelo - Fluxo de Caixa Orcamento 09052009_V36_3" xfId="877" xr:uid="{00000000-0005-0000-0000-0000B0050000}"/>
    <cellStyle name="c_HardInc _Fluxo de Caixa Orcamento FINAL_13052009" xfId="878" xr:uid="{00000000-0005-0000-0000-0000B1050000}"/>
    <cellStyle name="c_HardInc _FM_dummyV4" xfId="879" xr:uid="{00000000-0005-0000-0000-0000B2050000}"/>
    <cellStyle name="c_HardInc _lalur" xfId="880" xr:uid="{00000000-0005-0000-0000-0000B3050000}"/>
    <cellStyle name="c_HardInc _Leasing_V3" xfId="881" xr:uid="{00000000-0005-0000-0000-0000B4050000}"/>
    <cellStyle name="c_HardInc _MODELO PDP III" xfId="882" xr:uid="{00000000-0005-0000-0000-0000B5050000}"/>
    <cellStyle name="c_HardInc _ORÇ_2009" xfId="883" xr:uid="{00000000-0005-0000-0000-0000B6050000}"/>
    <cellStyle name="c_HardInc _Pasta2" xfId="884" xr:uid="{00000000-0005-0000-0000-0000B7050000}"/>
    <cellStyle name="c_Has-Gets (2)" xfId="885" xr:uid="{00000000-0005-0000-0000-0000B8050000}"/>
    <cellStyle name="c_Has-Gets (2)_Comparativo VP FIN v1_So 2008" xfId="6806" xr:uid="{00000000-0005-0000-0000-0000B9050000}"/>
    <cellStyle name="c_Has-Gets (2)_Comparativo VP MKT 2008 v1_So 2008" xfId="6807" xr:uid="{00000000-0005-0000-0000-0000BA050000}"/>
    <cellStyle name="c_Has-Gets (2)_Comparativo VP TEC 2008 v1_So 2008" xfId="6808" xr:uid="{00000000-0005-0000-0000-0000BB050000}"/>
    <cellStyle name="c_Has-Gets (2)_Comparativo VP TEC 2008_Luiz Sergio" xfId="6809" xr:uid="{00000000-0005-0000-0000-0000BC050000}"/>
    <cellStyle name="c_Has-Gets (2)_Cópia de Modelo - Fluxo de Caixa Orcamento 09052009_V36_3" xfId="886" xr:uid="{00000000-0005-0000-0000-0000BD050000}"/>
    <cellStyle name="c_Has-Gets (2)_Fluxo de Caixa Orcamento FINAL_13052009" xfId="887" xr:uid="{00000000-0005-0000-0000-0000BE050000}"/>
    <cellStyle name="c_Has-Gets (2)_FM_dummyV4" xfId="888" xr:uid="{00000000-0005-0000-0000-0000BF050000}"/>
    <cellStyle name="c_Has-Gets (2)_lalur" xfId="889" xr:uid="{00000000-0005-0000-0000-0000C0050000}"/>
    <cellStyle name="c_Has-Gets (2)_Leasing_V3" xfId="890" xr:uid="{00000000-0005-0000-0000-0000C1050000}"/>
    <cellStyle name="c_Has-Gets (2)_MODELO PDP III" xfId="891" xr:uid="{00000000-0005-0000-0000-0000C2050000}"/>
    <cellStyle name="c_Has-Gets (2)_ORÇ_2009" xfId="892" xr:uid="{00000000-0005-0000-0000-0000C3050000}"/>
    <cellStyle name="c_Has-Gets (2)_Pasta2" xfId="893" xr:uid="{00000000-0005-0000-0000-0000C4050000}"/>
    <cellStyle name="c_Hist Inputs (2)" xfId="894" xr:uid="{00000000-0005-0000-0000-0000C5050000}"/>
    <cellStyle name="c_Hist Inputs (2)_Comparativo VP FIN v1_So 2008" xfId="6810" xr:uid="{00000000-0005-0000-0000-0000C6050000}"/>
    <cellStyle name="c_Hist Inputs (2)_Comparativo VP MKT 2008 v1_So 2008" xfId="6811" xr:uid="{00000000-0005-0000-0000-0000C7050000}"/>
    <cellStyle name="c_Hist Inputs (2)_Comparativo VP TEC 2008 v1_So 2008" xfId="6812" xr:uid="{00000000-0005-0000-0000-0000C8050000}"/>
    <cellStyle name="c_Hist Inputs (2)_Comparativo VP TEC 2008_Luiz Sergio" xfId="6813" xr:uid="{00000000-0005-0000-0000-0000C9050000}"/>
    <cellStyle name="c_Hist Inputs (2)_Cópia de Modelo - Fluxo de Caixa Orcamento 09052009_V36_3" xfId="895" xr:uid="{00000000-0005-0000-0000-0000CA050000}"/>
    <cellStyle name="c_Hist Inputs (2)_Fluxo de Caixa Orcamento FINAL_13052009" xfId="896" xr:uid="{00000000-0005-0000-0000-0000CB050000}"/>
    <cellStyle name="c_Hist Inputs (2)_FM_dummyV4" xfId="897" xr:uid="{00000000-0005-0000-0000-0000CC050000}"/>
    <cellStyle name="c_Hist Inputs (2)_lalur" xfId="898" xr:uid="{00000000-0005-0000-0000-0000CD050000}"/>
    <cellStyle name="c_Hist Inputs (2)_Leasing_V3" xfId="899" xr:uid="{00000000-0005-0000-0000-0000CE050000}"/>
    <cellStyle name="c_Hist Inputs (2)_MODELO PDP III" xfId="900" xr:uid="{00000000-0005-0000-0000-0000CF050000}"/>
    <cellStyle name="c_Hist Inputs (2)_ORÇ_2009" xfId="901" xr:uid="{00000000-0005-0000-0000-0000D0050000}"/>
    <cellStyle name="c_Hist Inputs (2)_Pasta2" xfId="902" xr:uid="{00000000-0005-0000-0000-0000D1050000}"/>
    <cellStyle name="c_IRR Sensitivity (2)" xfId="903" xr:uid="{00000000-0005-0000-0000-0000D2050000}"/>
    <cellStyle name="c_IRR Sensitivity (2)_Comparativo VP FIN v1_So 2008" xfId="6814" xr:uid="{00000000-0005-0000-0000-0000D3050000}"/>
    <cellStyle name="c_IRR Sensitivity (2)_Comparativo VP MKT 2008 v1_So 2008" xfId="6815" xr:uid="{00000000-0005-0000-0000-0000D4050000}"/>
    <cellStyle name="c_IRR Sensitivity (2)_Comparativo VP TEC 2008 v1_So 2008" xfId="6816" xr:uid="{00000000-0005-0000-0000-0000D5050000}"/>
    <cellStyle name="c_IRR Sensitivity (2)_Comparativo VP TEC 2008_Luiz Sergio" xfId="6817" xr:uid="{00000000-0005-0000-0000-0000D6050000}"/>
    <cellStyle name="c_IRR Sensitivity (2)_Cópia de Modelo - Fluxo de Caixa Orcamento 09052009_V36_3" xfId="904" xr:uid="{00000000-0005-0000-0000-0000D7050000}"/>
    <cellStyle name="c_IRR Sensitivity (2)_Fluxo de Caixa Orcamento FINAL_13052009" xfId="905" xr:uid="{00000000-0005-0000-0000-0000D8050000}"/>
    <cellStyle name="c_IRR Sensitivity (2)_FM_dummyV4" xfId="906" xr:uid="{00000000-0005-0000-0000-0000D9050000}"/>
    <cellStyle name="c_IRR Sensitivity (2)_lalur" xfId="907" xr:uid="{00000000-0005-0000-0000-0000DA050000}"/>
    <cellStyle name="c_IRR Sensitivity (2)_Leasing_V3" xfId="908" xr:uid="{00000000-0005-0000-0000-0000DB050000}"/>
    <cellStyle name="c_IRR Sensitivity (2)_MODELO PDP III" xfId="909" xr:uid="{00000000-0005-0000-0000-0000DC050000}"/>
    <cellStyle name="c_IRR Sensitivity (2)_ORÇ_2009" xfId="910" xr:uid="{00000000-0005-0000-0000-0000DD050000}"/>
    <cellStyle name="c_IRR Sensitivity (2)_Pasta2" xfId="911" xr:uid="{00000000-0005-0000-0000-0000DE050000}"/>
    <cellStyle name="c_lalur" xfId="912" xr:uid="{00000000-0005-0000-0000-0000DF050000}"/>
    <cellStyle name="c_LBO Summary" xfId="913" xr:uid="{00000000-0005-0000-0000-0000E0050000}"/>
    <cellStyle name="c_LBO Summary_Comparativo VP FIN v1_So 2008" xfId="6818" xr:uid="{00000000-0005-0000-0000-0000E1050000}"/>
    <cellStyle name="c_LBO Summary_Comparativo VP MKT 2008 v1_So 2008" xfId="6819" xr:uid="{00000000-0005-0000-0000-0000E2050000}"/>
    <cellStyle name="c_LBO Summary_Comparativo VP TEC 2008 v1_So 2008" xfId="6820" xr:uid="{00000000-0005-0000-0000-0000E3050000}"/>
    <cellStyle name="c_LBO Summary_Comparativo VP TEC 2008_Luiz Sergio" xfId="6821" xr:uid="{00000000-0005-0000-0000-0000E4050000}"/>
    <cellStyle name="c_LBO Summary_Cópia de Modelo - Fluxo de Caixa Orcamento 09052009_V36_3" xfId="914" xr:uid="{00000000-0005-0000-0000-0000E5050000}"/>
    <cellStyle name="c_LBO Summary_Fluxo de Caixa Orcamento FINAL_13052009" xfId="915" xr:uid="{00000000-0005-0000-0000-0000E6050000}"/>
    <cellStyle name="c_LBO Summary_FM_dummyV4" xfId="916" xr:uid="{00000000-0005-0000-0000-0000E7050000}"/>
    <cellStyle name="c_LBO Summary_lalur" xfId="917" xr:uid="{00000000-0005-0000-0000-0000E8050000}"/>
    <cellStyle name="c_LBO Summary_Leasing_V3" xfId="918" xr:uid="{00000000-0005-0000-0000-0000E9050000}"/>
    <cellStyle name="c_LBO Summary_MODELO PDP III" xfId="919" xr:uid="{00000000-0005-0000-0000-0000EA050000}"/>
    <cellStyle name="c_LBO Summary_ORÇ_2009" xfId="920" xr:uid="{00000000-0005-0000-0000-0000EB050000}"/>
    <cellStyle name="c_LBO Summary_Pasta2" xfId="921" xr:uid="{00000000-0005-0000-0000-0000EC050000}"/>
    <cellStyle name="c_Leasing_V3" xfId="922" xr:uid="{00000000-0005-0000-0000-0000ED050000}"/>
    <cellStyle name="c_Limites x Garantias" xfId="923" xr:uid="{00000000-0005-0000-0000-0000EE050000}"/>
    <cellStyle name="c_Limites x Garantias_Cópia de Modelo - Fluxo de Caixa Orcamento 09052009_V36_3" xfId="924" xr:uid="{00000000-0005-0000-0000-0000EF050000}"/>
    <cellStyle name="c_Limites x Garantias_Fluxo de Caixa Orcamento FINAL_13052009" xfId="925" xr:uid="{00000000-0005-0000-0000-0000F0050000}"/>
    <cellStyle name="c_Limites x Garantias_Liquidez" xfId="926" xr:uid="{00000000-0005-0000-0000-0000F1050000}"/>
    <cellStyle name="c_Limites x Garantias_Liquidez_Cópia de Modelo - Fluxo de Caixa Orcamento 09052009_V36_3" xfId="927" xr:uid="{00000000-0005-0000-0000-0000F2050000}"/>
    <cellStyle name="c_Limites x Garantias_Liquidez_Fluxo de Caixa Orcamento FINAL_13052009" xfId="928" xr:uid="{00000000-0005-0000-0000-0000F3050000}"/>
    <cellStyle name="c_Limites x Garantias_Liquidez_Pasta2" xfId="929" xr:uid="{00000000-0005-0000-0000-0000F4050000}"/>
    <cellStyle name="c_Limites x Garantias_Pasta2" xfId="930" xr:uid="{00000000-0005-0000-0000-0000F5050000}"/>
    <cellStyle name="c_Limites x Garantias_Statement Sky - Finance" xfId="931" xr:uid="{00000000-0005-0000-0000-0000F6050000}"/>
    <cellStyle name="c_Macros" xfId="932" xr:uid="{00000000-0005-0000-0000-0000F7050000}"/>
    <cellStyle name="c_Macros_Comparativo VP FIN v1_So 2008" xfId="6822" xr:uid="{00000000-0005-0000-0000-0000F8050000}"/>
    <cellStyle name="c_Macros_Comparativo VP MKT 2008 v1_So 2008" xfId="6823" xr:uid="{00000000-0005-0000-0000-0000F9050000}"/>
    <cellStyle name="c_Macros_Comparativo VP TEC 2008 v1_So 2008" xfId="6824" xr:uid="{00000000-0005-0000-0000-0000FA050000}"/>
    <cellStyle name="c_Macros_Comparativo VP TEC 2008_Luiz Sergio" xfId="6825" xr:uid="{00000000-0005-0000-0000-0000FB050000}"/>
    <cellStyle name="c_Macros_Cópia de Modelo - Fluxo de Caixa Orcamento 09052009_V36_3" xfId="933" xr:uid="{00000000-0005-0000-0000-0000FC050000}"/>
    <cellStyle name="c_Macros_Fluxo de Caixa Orcamento FINAL_13052009" xfId="934" xr:uid="{00000000-0005-0000-0000-0000FD050000}"/>
    <cellStyle name="c_Macros_FM_dummyV4" xfId="935" xr:uid="{00000000-0005-0000-0000-0000FE050000}"/>
    <cellStyle name="c_Macros_lalur" xfId="936" xr:uid="{00000000-0005-0000-0000-0000FF050000}"/>
    <cellStyle name="c_Macros_Leasing_V3" xfId="937" xr:uid="{00000000-0005-0000-0000-000000060000}"/>
    <cellStyle name="c_Macros_MODELO PDP III" xfId="938" xr:uid="{00000000-0005-0000-0000-000001060000}"/>
    <cellStyle name="c_Macros_ORÇ_2009" xfId="939" xr:uid="{00000000-0005-0000-0000-000002060000}"/>
    <cellStyle name="c_Macros_Pasta2" xfId="940" xr:uid="{00000000-0005-0000-0000-000003060000}"/>
    <cellStyle name="c_Mango Merger" xfId="941" xr:uid="{00000000-0005-0000-0000-000004060000}"/>
    <cellStyle name="c_Mango Merger 3" xfId="942" xr:uid="{00000000-0005-0000-0000-000005060000}"/>
    <cellStyle name="c_Mango Merger 3_Comparativo VP FIN v1_So 2008" xfId="6826" xr:uid="{00000000-0005-0000-0000-000006060000}"/>
    <cellStyle name="c_Mango Merger 3_Comparativo VP MKT 2008 v1_So 2008" xfId="6827" xr:uid="{00000000-0005-0000-0000-000007060000}"/>
    <cellStyle name="c_Mango Merger 3_Comparativo VP TEC 2008 v1_So 2008" xfId="6828" xr:uid="{00000000-0005-0000-0000-000008060000}"/>
    <cellStyle name="c_Mango Merger 3_Comparativo VP TEC 2008_Luiz Sergio" xfId="6829" xr:uid="{00000000-0005-0000-0000-000009060000}"/>
    <cellStyle name="c_Mango Merger 3_Cópia de Modelo - Fluxo de Caixa Orcamento 09052009_V36_3" xfId="943" xr:uid="{00000000-0005-0000-0000-00000A060000}"/>
    <cellStyle name="c_Mango Merger 3_Fluxo de Caixa Orcamento FINAL_13052009" xfId="944" xr:uid="{00000000-0005-0000-0000-00000B060000}"/>
    <cellStyle name="c_Mango Merger 3_FM_dummyV4" xfId="945" xr:uid="{00000000-0005-0000-0000-00000C060000}"/>
    <cellStyle name="c_Mango Merger 3_lalur" xfId="946" xr:uid="{00000000-0005-0000-0000-00000D060000}"/>
    <cellStyle name="c_Mango Merger 3_Leasing_V3" xfId="947" xr:uid="{00000000-0005-0000-0000-00000E060000}"/>
    <cellStyle name="c_Mango Merger 3_MODELO PDP III" xfId="948" xr:uid="{00000000-0005-0000-0000-00000F060000}"/>
    <cellStyle name="c_Mango Merger 3_ORÇ_2009" xfId="949" xr:uid="{00000000-0005-0000-0000-000010060000}"/>
    <cellStyle name="c_Mango Merger 3_Pasta2" xfId="950" xr:uid="{00000000-0005-0000-0000-000011060000}"/>
    <cellStyle name="c_Mango Merger_Comparativo VP FIN v1_So 2008" xfId="6830" xr:uid="{00000000-0005-0000-0000-000012060000}"/>
    <cellStyle name="c_Mango Merger_Comparativo VP MKT 2008 v1_So 2008" xfId="6831" xr:uid="{00000000-0005-0000-0000-000013060000}"/>
    <cellStyle name="c_Mango Merger_Comparativo VP TEC 2008 v1_So 2008" xfId="6832" xr:uid="{00000000-0005-0000-0000-000014060000}"/>
    <cellStyle name="c_Mango Merger_Comparativo VP TEC 2008_Luiz Sergio" xfId="6833" xr:uid="{00000000-0005-0000-0000-000015060000}"/>
    <cellStyle name="c_Mango Merger_Cópia de Modelo - Fluxo de Caixa Orcamento 09052009_V36_3" xfId="951" xr:uid="{00000000-0005-0000-0000-000016060000}"/>
    <cellStyle name="c_Mango Merger_Fluxo de Caixa Orcamento FINAL_13052009" xfId="952" xr:uid="{00000000-0005-0000-0000-000017060000}"/>
    <cellStyle name="c_Mango Merger_FM_dummyV4" xfId="953" xr:uid="{00000000-0005-0000-0000-000018060000}"/>
    <cellStyle name="c_Mango Merger_lalur" xfId="954" xr:uid="{00000000-0005-0000-0000-000019060000}"/>
    <cellStyle name="c_Mango Merger_Leasing_V3" xfId="955" xr:uid="{00000000-0005-0000-0000-00001A060000}"/>
    <cellStyle name="c_Mango Merger_MODELO PDP III" xfId="956" xr:uid="{00000000-0005-0000-0000-00001B060000}"/>
    <cellStyle name="c_Mango Merger_ORÇ_2009" xfId="957" xr:uid="{00000000-0005-0000-0000-00001C060000}"/>
    <cellStyle name="c_Mango Merger_Pasta2" xfId="958" xr:uid="{00000000-0005-0000-0000-00001D060000}"/>
    <cellStyle name="c_Model Assumptions (2)" xfId="959" xr:uid="{00000000-0005-0000-0000-00001E060000}"/>
    <cellStyle name="c_Model Assumptions (2)_Comparativo VP FIN v1_So 2008" xfId="6834" xr:uid="{00000000-0005-0000-0000-00001F060000}"/>
    <cellStyle name="c_Model Assumptions (2)_Comparativo VP MKT 2008 v1_So 2008" xfId="6835" xr:uid="{00000000-0005-0000-0000-000020060000}"/>
    <cellStyle name="c_Model Assumptions (2)_Comparativo VP TEC 2008 v1_So 2008" xfId="6836" xr:uid="{00000000-0005-0000-0000-000021060000}"/>
    <cellStyle name="c_Model Assumptions (2)_Comparativo VP TEC 2008_Luiz Sergio" xfId="6837" xr:uid="{00000000-0005-0000-0000-000022060000}"/>
    <cellStyle name="c_Model Assumptions (2)_Cópia de Modelo - Fluxo de Caixa Orcamento 09052009_V36_3" xfId="960" xr:uid="{00000000-0005-0000-0000-000023060000}"/>
    <cellStyle name="c_Model Assumptions (2)_Fluxo de Caixa Orcamento FINAL_13052009" xfId="961" xr:uid="{00000000-0005-0000-0000-000024060000}"/>
    <cellStyle name="c_Model Assumptions (2)_FM_dummyV4" xfId="962" xr:uid="{00000000-0005-0000-0000-000025060000}"/>
    <cellStyle name="c_Model Assumptions (2)_lalur" xfId="963" xr:uid="{00000000-0005-0000-0000-000026060000}"/>
    <cellStyle name="c_Model Assumptions (2)_Leasing_V3" xfId="964" xr:uid="{00000000-0005-0000-0000-000027060000}"/>
    <cellStyle name="c_Model Assumptions (2)_MODELO PDP III" xfId="965" xr:uid="{00000000-0005-0000-0000-000028060000}"/>
    <cellStyle name="c_Model Assumptions (2)_ORÇ_2009" xfId="966" xr:uid="{00000000-0005-0000-0000-000029060000}"/>
    <cellStyle name="c_Model Assumptions (2)_Pasta2" xfId="967" xr:uid="{00000000-0005-0000-0000-00002A060000}"/>
    <cellStyle name="c_Model_19" xfId="968" xr:uid="{00000000-0005-0000-0000-00002B060000}"/>
    <cellStyle name="c_Model_19_Comparativo VP FIN v1_So 2008" xfId="6838" xr:uid="{00000000-0005-0000-0000-00002C060000}"/>
    <cellStyle name="c_Model_19_Comparativo VP MKT 2008 v1_So 2008" xfId="6839" xr:uid="{00000000-0005-0000-0000-00002D060000}"/>
    <cellStyle name="c_Model_19_Comparativo VP TEC 2008 v1_So 2008" xfId="6840" xr:uid="{00000000-0005-0000-0000-00002E060000}"/>
    <cellStyle name="c_Model_19_Comparativo VP TEC 2008_Luiz Sergio" xfId="6841" xr:uid="{00000000-0005-0000-0000-00002F060000}"/>
    <cellStyle name="c_Model_19_Cópia de Modelo - Fluxo de Caixa Orcamento 09052009_V36_3" xfId="969" xr:uid="{00000000-0005-0000-0000-000030060000}"/>
    <cellStyle name="c_Model_19_Fluxo de Caixa Orcamento FINAL_13052009" xfId="970" xr:uid="{00000000-0005-0000-0000-000031060000}"/>
    <cellStyle name="c_Model_19_FM_dummyV4" xfId="971" xr:uid="{00000000-0005-0000-0000-000032060000}"/>
    <cellStyle name="c_Model_19_lalur" xfId="972" xr:uid="{00000000-0005-0000-0000-000033060000}"/>
    <cellStyle name="c_Model_19_Leasing_V3" xfId="973" xr:uid="{00000000-0005-0000-0000-000034060000}"/>
    <cellStyle name="c_Model_19_MODELO PDP III" xfId="974" xr:uid="{00000000-0005-0000-0000-000035060000}"/>
    <cellStyle name="c_Model_19_ORÇ_2009" xfId="975" xr:uid="{00000000-0005-0000-0000-000036060000}"/>
    <cellStyle name="c_Model_19_Pasta2" xfId="976" xr:uid="{00000000-0005-0000-0000-000037060000}"/>
    <cellStyle name="c_Model_19_Q2 pipeline" xfId="977" xr:uid="{00000000-0005-0000-0000-000038060000}"/>
    <cellStyle name="c_Model_19_Q2 pipeline 2" xfId="6842" xr:uid="{00000000-0005-0000-0000-000039060000}"/>
    <cellStyle name="c_Model_19_Q2 pipeline_Cópia de Modelo - Fluxo de Caixa Orcamento 09052009_V36_3" xfId="978" xr:uid="{00000000-0005-0000-0000-00003A060000}"/>
    <cellStyle name="c_Model_19_Q2 pipeline_Cópia de Modelo - Fluxo de Caixa Orcamento 09052009_V36_3 2" xfId="6843" xr:uid="{00000000-0005-0000-0000-00003B060000}"/>
    <cellStyle name="c_Model_19_Q2 pipeline_Fluxo de Caixa Orcamento FINAL_13052009" xfId="979" xr:uid="{00000000-0005-0000-0000-00003C060000}"/>
    <cellStyle name="c_Model_19_Q2 pipeline_Fluxo de Caixa Orcamento FINAL_13052009 2" xfId="6844" xr:uid="{00000000-0005-0000-0000-00003D060000}"/>
    <cellStyle name="c_Model_19_Q2 pipeline_FM_dummyV4" xfId="980" xr:uid="{00000000-0005-0000-0000-00003E060000}"/>
    <cellStyle name="c_Model_19_Q2 pipeline_lalur" xfId="981" xr:uid="{00000000-0005-0000-0000-00003F060000}"/>
    <cellStyle name="c_Model_19_Q2 pipeline_Leasing_V3" xfId="982" xr:uid="{00000000-0005-0000-0000-000040060000}"/>
    <cellStyle name="c_Model_19_Q2 pipeline_MODELO PDP III" xfId="983" xr:uid="{00000000-0005-0000-0000-000041060000}"/>
    <cellStyle name="c_Model_19_Q2 pipeline_ORÇ_2009" xfId="984" xr:uid="{00000000-0005-0000-0000-000042060000}"/>
    <cellStyle name="c_Model_19_Q2 pipeline_ORÇ_2009 2" xfId="6845" xr:uid="{00000000-0005-0000-0000-000043060000}"/>
    <cellStyle name="c_Model_19_Q2 pipeline_Pasta2" xfId="985" xr:uid="{00000000-0005-0000-0000-000044060000}"/>
    <cellStyle name="c_Model_19_Q2 pipeline_Pasta2 2" xfId="6846" xr:uid="{00000000-0005-0000-0000-000045060000}"/>
    <cellStyle name="c_MODELO PDP III" xfId="986" xr:uid="{00000000-0005-0000-0000-000046060000}"/>
    <cellStyle name="c_OBGYN (2)" xfId="987" xr:uid="{00000000-0005-0000-0000-000047060000}"/>
    <cellStyle name="c_OBGYN (2)_Comparativo VP FIN v1_So 2008" xfId="6847" xr:uid="{00000000-0005-0000-0000-000048060000}"/>
    <cellStyle name="c_OBGYN (2)_Comparativo VP MKT 2008 v1_So 2008" xfId="6848" xr:uid="{00000000-0005-0000-0000-000049060000}"/>
    <cellStyle name="c_OBGYN (2)_Comparativo VP TEC 2008 v1_So 2008" xfId="6849" xr:uid="{00000000-0005-0000-0000-00004A060000}"/>
    <cellStyle name="c_OBGYN (2)_Comparativo VP TEC 2008_Luiz Sergio" xfId="6850" xr:uid="{00000000-0005-0000-0000-00004B060000}"/>
    <cellStyle name="c_OBGYN (2)_Cópia de Modelo - Fluxo de Caixa Orcamento 09052009_V36_3" xfId="988" xr:uid="{00000000-0005-0000-0000-00004C060000}"/>
    <cellStyle name="c_OBGYN (2)_Fluxo de Caixa Orcamento FINAL_13052009" xfId="989" xr:uid="{00000000-0005-0000-0000-00004D060000}"/>
    <cellStyle name="c_OBGYN (2)_FM_dummyV4" xfId="990" xr:uid="{00000000-0005-0000-0000-00004E060000}"/>
    <cellStyle name="c_OBGYN (2)_lalur" xfId="991" xr:uid="{00000000-0005-0000-0000-00004F060000}"/>
    <cellStyle name="c_OBGYN (2)_Leasing_V3" xfId="992" xr:uid="{00000000-0005-0000-0000-000050060000}"/>
    <cellStyle name="c_OBGYN (2)_MODELO PDP III" xfId="993" xr:uid="{00000000-0005-0000-0000-000051060000}"/>
    <cellStyle name="c_OBGYN (2)_ORÇ_2009" xfId="994" xr:uid="{00000000-0005-0000-0000-000052060000}"/>
    <cellStyle name="c_OBGYN (2)_Pasta2" xfId="995" xr:uid="{00000000-0005-0000-0000-000053060000}"/>
    <cellStyle name="c_ORÇ_2009" xfId="996" xr:uid="{00000000-0005-0000-0000-000054060000}"/>
    <cellStyle name="c_Other Businesses (2)" xfId="997" xr:uid="{00000000-0005-0000-0000-000055060000}"/>
    <cellStyle name="c_Other Businesses (2)_Comparativo VP FIN v1_So 2008" xfId="6851" xr:uid="{00000000-0005-0000-0000-000056060000}"/>
    <cellStyle name="c_Other Businesses (2)_Comparativo VP MKT 2008 v1_So 2008" xfId="6852" xr:uid="{00000000-0005-0000-0000-000057060000}"/>
    <cellStyle name="c_Other Businesses (2)_Comparativo VP TEC 2008 v1_So 2008" xfId="6853" xr:uid="{00000000-0005-0000-0000-000058060000}"/>
    <cellStyle name="c_Other Businesses (2)_Comparativo VP TEC 2008_Luiz Sergio" xfId="6854" xr:uid="{00000000-0005-0000-0000-000059060000}"/>
    <cellStyle name="c_Other Businesses (2)_Cópia de Modelo - Fluxo de Caixa Orcamento 09052009_V36_3" xfId="998" xr:uid="{00000000-0005-0000-0000-00005A060000}"/>
    <cellStyle name="c_Other Businesses (2)_Fluxo de Caixa Orcamento FINAL_13052009" xfId="999" xr:uid="{00000000-0005-0000-0000-00005B060000}"/>
    <cellStyle name="c_Other Businesses (2)_FM_dummyV4" xfId="1000" xr:uid="{00000000-0005-0000-0000-00005C060000}"/>
    <cellStyle name="c_Other Businesses (2)_lalur" xfId="1001" xr:uid="{00000000-0005-0000-0000-00005D060000}"/>
    <cellStyle name="c_Other Businesses (2)_Leasing_V3" xfId="1002" xr:uid="{00000000-0005-0000-0000-00005E060000}"/>
    <cellStyle name="c_Other Businesses (2)_MODELO PDP III" xfId="1003" xr:uid="{00000000-0005-0000-0000-00005F060000}"/>
    <cellStyle name="c_Other Businesses (2)_ORÇ_2009" xfId="1004" xr:uid="{00000000-0005-0000-0000-000060060000}"/>
    <cellStyle name="c_Other Businesses (2)_Pasta2" xfId="1005" xr:uid="{00000000-0005-0000-0000-000061060000}"/>
    <cellStyle name="c_Ownership" xfId="1006" xr:uid="{00000000-0005-0000-0000-000062060000}"/>
    <cellStyle name="c_Ownership_Comparativo VP FIN v1_So 2008" xfId="6855" xr:uid="{00000000-0005-0000-0000-000063060000}"/>
    <cellStyle name="c_Ownership_Comparativo VP MKT 2008 v1_So 2008" xfId="6856" xr:uid="{00000000-0005-0000-0000-000064060000}"/>
    <cellStyle name="c_Ownership_Comparativo VP TEC 2008 v1_So 2008" xfId="6857" xr:uid="{00000000-0005-0000-0000-000065060000}"/>
    <cellStyle name="c_Ownership_Comparativo VP TEC 2008_Luiz Sergio" xfId="6858" xr:uid="{00000000-0005-0000-0000-000066060000}"/>
    <cellStyle name="c_Ownership_Cópia de Modelo - Fluxo de Caixa Orcamento 09052009_V36_3" xfId="1007" xr:uid="{00000000-0005-0000-0000-000067060000}"/>
    <cellStyle name="c_Ownership_Fluxo de Caixa Orcamento FINAL_13052009" xfId="1008" xr:uid="{00000000-0005-0000-0000-000068060000}"/>
    <cellStyle name="c_Ownership_FM_dummyV4" xfId="1009" xr:uid="{00000000-0005-0000-0000-000069060000}"/>
    <cellStyle name="c_Ownership_lalur" xfId="1010" xr:uid="{00000000-0005-0000-0000-00006A060000}"/>
    <cellStyle name="c_Ownership_Leasing_V3" xfId="1011" xr:uid="{00000000-0005-0000-0000-00006B060000}"/>
    <cellStyle name="c_Ownership_MODELO PDP III" xfId="1012" xr:uid="{00000000-0005-0000-0000-00006C060000}"/>
    <cellStyle name="c_Ownership_ORÇ_2009" xfId="1013" xr:uid="{00000000-0005-0000-0000-00006D060000}"/>
    <cellStyle name="c_Ownership_Pasta2" xfId="1014" xr:uid="{00000000-0005-0000-0000-00006E060000}"/>
    <cellStyle name="c_Pasta2" xfId="1015" xr:uid="{00000000-0005-0000-0000-00006F060000}"/>
    <cellStyle name="c_pearl_wacc" xfId="1016" xr:uid="{00000000-0005-0000-0000-000070060000}"/>
    <cellStyle name="c_pearl_wacc_Comparativo VP FIN v1_So 2008" xfId="6859" xr:uid="{00000000-0005-0000-0000-000071060000}"/>
    <cellStyle name="c_pearl_wacc_Comparativo VP MKT 2008 v1_So 2008" xfId="6860" xr:uid="{00000000-0005-0000-0000-000072060000}"/>
    <cellStyle name="c_pearl_wacc_Comparativo VP TEC 2008 v1_So 2008" xfId="6861" xr:uid="{00000000-0005-0000-0000-000073060000}"/>
    <cellStyle name="c_pearl_wacc_Comparativo VP TEC 2008_Luiz Sergio" xfId="6862" xr:uid="{00000000-0005-0000-0000-000074060000}"/>
    <cellStyle name="c_pearl_wacc_Cópia de Modelo - Fluxo de Caixa Orcamento 09052009_V36_3" xfId="1017" xr:uid="{00000000-0005-0000-0000-000075060000}"/>
    <cellStyle name="c_pearl_wacc_Fluxo de Caixa Orcamento FINAL_13052009" xfId="1018" xr:uid="{00000000-0005-0000-0000-000076060000}"/>
    <cellStyle name="c_pearl_wacc_FM_dummyV4" xfId="1019" xr:uid="{00000000-0005-0000-0000-000077060000}"/>
    <cellStyle name="c_pearl_wacc_lalur" xfId="1020" xr:uid="{00000000-0005-0000-0000-000078060000}"/>
    <cellStyle name="c_pearl_wacc_Leasing_V3" xfId="1021" xr:uid="{00000000-0005-0000-0000-000079060000}"/>
    <cellStyle name="c_pearl_wacc_MODELO PDP III" xfId="1022" xr:uid="{00000000-0005-0000-0000-00007A060000}"/>
    <cellStyle name="c_pearl_wacc_ORÇ_2009" xfId="1023" xr:uid="{00000000-0005-0000-0000-00007B060000}"/>
    <cellStyle name="c_pearl_wacc_Pasta2" xfId="1024" xr:uid="{00000000-0005-0000-0000-00007C060000}"/>
    <cellStyle name="c_pearl_wacc_Q2 pipeline" xfId="1025" xr:uid="{00000000-0005-0000-0000-00007D060000}"/>
    <cellStyle name="c_pearl_wacc_Q2 pipeline 2" xfId="6863" xr:uid="{00000000-0005-0000-0000-00007E060000}"/>
    <cellStyle name="c_pearl_wacc_Q2 pipeline_Cópia de Modelo - Fluxo de Caixa Orcamento 09052009_V36_3" xfId="1026" xr:uid="{00000000-0005-0000-0000-00007F060000}"/>
    <cellStyle name="c_pearl_wacc_Q2 pipeline_Cópia de Modelo - Fluxo de Caixa Orcamento 09052009_V36_3 2" xfId="6864" xr:uid="{00000000-0005-0000-0000-000080060000}"/>
    <cellStyle name="c_pearl_wacc_Q2 pipeline_Fluxo de Caixa Orcamento FINAL_13052009" xfId="1027" xr:uid="{00000000-0005-0000-0000-000081060000}"/>
    <cellStyle name="c_pearl_wacc_Q2 pipeline_Fluxo de Caixa Orcamento FINAL_13052009 2" xfId="6865" xr:uid="{00000000-0005-0000-0000-000082060000}"/>
    <cellStyle name="c_pearl_wacc_Q2 pipeline_FM_dummyV4" xfId="1028" xr:uid="{00000000-0005-0000-0000-000083060000}"/>
    <cellStyle name="c_pearl_wacc_Q2 pipeline_lalur" xfId="1029" xr:uid="{00000000-0005-0000-0000-000084060000}"/>
    <cellStyle name="c_pearl_wacc_Q2 pipeline_Leasing_V3" xfId="1030" xr:uid="{00000000-0005-0000-0000-000085060000}"/>
    <cellStyle name="c_pearl_wacc_Q2 pipeline_MODELO PDP III" xfId="1031" xr:uid="{00000000-0005-0000-0000-000086060000}"/>
    <cellStyle name="c_pearl_wacc_Q2 pipeline_ORÇ_2009" xfId="1032" xr:uid="{00000000-0005-0000-0000-000087060000}"/>
    <cellStyle name="c_pearl_wacc_Q2 pipeline_ORÇ_2009 2" xfId="6866" xr:uid="{00000000-0005-0000-0000-000088060000}"/>
    <cellStyle name="c_pearl_wacc_Q2 pipeline_Pasta2" xfId="1033" xr:uid="{00000000-0005-0000-0000-000089060000}"/>
    <cellStyle name="c_pearl_wacc_Q2 pipeline_Pasta2 2" xfId="6867" xr:uid="{00000000-0005-0000-0000-00008A060000}"/>
    <cellStyle name="c_PFMA Credit (2)" xfId="1034" xr:uid="{00000000-0005-0000-0000-00008B060000}"/>
    <cellStyle name="c_PFMA Credit (2)_Comparativo VP FIN v1_So 2008" xfId="6868" xr:uid="{00000000-0005-0000-0000-00008C060000}"/>
    <cellStyle name="c_PFMA Credit (2)_Comparativo VP MKT 2008 v1_So 2008" xfId="6869" xr:uid="{00000000-0005-0000-0000-00008D060000}"/>
    <cellStyle name="c_PFMA Credit (2)_Comparativo VP TEC 2008 v1_So 2008" xfId="6870" xr:uid="{00000000-0005-0000-0000-00008E060000}"/>
    <cellStyle name="c_PFMA Credit (2)_Comparativo VP TEC 2008_Luiz Sergio" xfId="6871" xr:uid="{00000000-0005-0000-0000-00008F060000}"/>
    <cellStyle name="c_PFMA Credit (2)_Cópia de Modelo - Fluxo de Caixa Orcamento 09052009_V36_3" xfId="1035" xr:uid="{00000000-0005-0000-0000-000090060000}"/>
    <cellStyle name="c_PFMA Credit (2)_Fluxo de Caixa Orcamento FINAL_13052009" xfId="1036" xr:uid="{00000000-0005-0000-0000-000091060000}"/>
    <cellStyle name="c_PFMA Credit (2)_FM_dummyV4" xfId="1037" xr:uid="{00000000-0005-0000-0000-000092060000}"/>
    <cellStyle name="c_PFMA Credit (2)_lalur" xfId="1038" xr:uid="{00000000-0005-0000-0000-000093060000}"/>
    <cellStyle name="c_PFMA Credit (2)_Leasing_V3" xfId="1039" xr:uid="{00000000-0005-0000-0000-000094060000}"/>
    <cellStyle name="c_PFMA Credit (2)_MODELO PDP III" xfId="1040" xr:uid="{00000000-0005-0000-0000-000095060000}"/>
    <cellStyle name="c_PFMA Credit (2)_ORÇ_2009" xfId="1041" xr:uid="{00000000-0005-0000-0000-000096060000}"/>
    <cellStyle name="c_PFMA Credit (2)_Pasta2" xfId="1042" xr:uid="{00000000-0005-0000-0000-000097060000}"/>
    <cellStyle name="c_PFMA Income (2)" xfId="1043" xr:uid="{00000000-0005-0000-0000-000098060000}"/>
    <cellStyle name="c_PFMA Income (2)_Comparativo VP FIN v1_So 2008" xfId="6872" xr:uid="{00000000-0005-0000-0000-000099060000}"/>
    <cellStyle name="c_PFMA Income (2)_Comparativo VP MKT 2008 v1_So 2008" xfId="6873" xr:uid="{00000000-0005-0000-0000-00009A060000}"/>
    <cellStyle name="c_PFMA Income (2)_Comparativo VP TEC 2008 v1_So 2008" xfId="6874" xr:uid="{00000000-0005-0000-0000-00009B060000}"/>
    <cellStyle name="c_PFMA Income (2)_Comparativo VP TEC 2008_Luiz Sergio" xfId="6875" xr:uid="{00000000-0005-0000-0000-00009C060000}"/>
    <cellStyle name="c_PFMA Income (2)_Cópia de Modelo - Fluxo de Caixa Orcamento 09052009_V36_3" xfId="1044" xr:uid="{00000000-0005-0000-0000-00009D060000}"/>
    <cellStyle name="c_PFMA Income (2)_Fluxo de Caixa Orcamento FINAL_13052009" xfId="1045" xr:uid="{00000000-0005-0000-0000-00009E060000}"/>
    <cellStyle name="c_PFMA Income (2)_FM_dummyV4" xfId="1046" xr:uid="{00000000-0005-0000-0000-00009F060000}"/>
    <cellStyle name="c_PFMA Income (2)_lalur" xfId="1047" xr:uid="{00000000-0005-0000-0000-0000A0060000}"/>
    <cellStyle name="c_PFMA Income (2)_Leasing_V3" xfId="1048" xr:uid="{00000000-0005-0000-0000-0000A1060000}"/>
    <cellStyle name="c_PFMA Income (2)_MODELO PDP III" xfId="1049" xr:uid="{00000000-0005-0000-0000-0000A2060000}"/>
    <cellStyle name="c_PFMA Income (2)_ORÇ_2009" xfId="1050" xr:uid="{00000000-0005-0000-0000-0000A3060000}"/>
    <cellStyle name="c_PFMA Income (2)_Pasta2" xfId="1051" xr:uid="{00000000-0005-0000-0000-0000A4060000}"/>
    <cellStyle name="c_Pippen (2)" xfId="1052" xr:uid="{00000000-0005-0000-0000-0000A5060000}"/>
    <cellStyle name="c_Pippen (2)_Comparativo VP FIN v1_So 2008" xfId="6876" xr:uid="{00000000-0005-0000-0000-0000A6060000}"/>
    <cellStyle name="c_Pippen (2)_Comparativo VP MKT 2008 v1_So 2008" xfId="6877" xr:uid="{00000000-0005-0000-0000-0000A7060000}"/>
    <cellStyle name="c_Pippen (2)_Comparativo VP TEC 2008 v1_So 2008" xfId="6878" xr:uid="{00000000-0005-0000-0000-0000A8060000}"/>
    <cellStyle name="c_Pippen (2)_Comparativo VP TEC 2008_Luiz Sergio" xfId="6879" xr:uid="{00000000-0005-0000-0000-0000A9060000}"/>
    <cellStyle name="c_Pippen (2)_Cópia de Modelo - Fluxo de Caixa Orcamento 09052009_V36_3" xfId="1053" xr:uid="{00000000-0005-0000-0000-0000AA060000}"/>
    <cellStyle name="c_Pippen (2)_Fluxo de Caixa Orcamento FINAL_13052009" xfId="1054" xr:uid="{00000000-0005-0000-0000-0000AB060000}"/>
    <cellStyle name="c_Pippen (2)_FM_dummyV4" xfId="1055" xr:uid="{00000000-0005-0000-0000-0000AC060000}"/>
    <cellStyle name="c_Pippen (2)_lalur" xfId="1056" xr:uid="{00000000-0005-0000-0000-0000AD060000}"/>
    <cellStyle name="c_Pippen (2)_Leasing_V3" xfId="1057" xr:uid="{00000000-0005-0000-0000-0000AE060000}"/>
    <cellStyle name="c_Pippen (2)_MODELO PDP III" xfId="1058" xr:uid="{00000000-0005-0000-0000-0000AF060000}"/>
    <cellStyle name="c_Pippen (2)_ORÇ_2009" xfId="1059" xr:uid="{00000000-0005-0000-0000-0000B0060000}"/>
    <cellStyle name="c_Pippen (2)_Pasta2" xfId="1060" xr:uid="{00000000-0005-0000-0000-0000B1060000}"/>
    <cellStyle name="c_Pippen Cases (2)" xfId="1061" xr:uid="{00000000-0005-0000-0000-0000B2060000}"/>
    <cellStyle name="c_Pippen Cases (2)_Comparativo VP FIN v1_So 2008" xfId="6880" xr:uid="{00000000-0005-0000-0000-0000B3060000}"/>
    <cellStyle name="c_Pippen Cases (2)_Comparativo VP MKT 2008 v1_So 2008" xfId="6881" xr:uid="{00000000-0005-0000-0000-0000B4060000}"/>
    <cellStyle name="c_Pippen Cases (2)_Comparativo VP TEC 2008 v1_So 2008" xfId="6882" xr:uid="{00000000-0005-0000-0000-0000B5060000}"/>
    <cellStyle name="c_Pippen Cases (2)_Comparativo VP TEC 2008_Luiz Sergio" xfId="6883" xr:uid="{00000000-0005-0000-0000-0000B6060000}"/>
    <cellStyle name="c_Pippen Cases (2)_Cópia de Modelo - Fluxo de Caixa Orcamento 09052009_V36_3" xfId="1062" xr:uid="{00000000-0005-0000-0000-0000B7060000}"/>
    <cellStyle name="c_Pippen Cases (2)_Fluxo de Caixa Orcamento FINAL_13052009" xfId="1063" xr:uid="{00000000-0005-0000-0000-0000B8060000}"/>
    <cellStyle name="c_Pippen Cases (2)_FM_dummyV4" xfId="1064" xr:uid="{00000000-0005-0000-0000-0000B9060000}"/>
    <cellStyle name="c_Pippen Cases (2)_lalur" xfId="1065" xr:uid="{00000000-0005-0000-0000-0000BA060000}"/>
    <cellStyle name="c_Pippen Cases (2)_Leasing_V3" xfId="1066" xr:uid="{00000000-0005-0000-0000-0000BB060000}"/>
    <cellStyle name="c_Pippen Cases (2)_MODELO PDP III" xfId="1067" xr:uid="{00000000-0005-0000-0000-0000BC060000}"/>
    <cellStyle name="c_Pippen Cases (2)_ORÇ_2009" xfId="1068" xr:uid="{00000000-0005-0000-0000-0000BD060000}"/>
    <cellStyle name="c_Pippen Cases (2)_Pasta2" xfId="1069" xr:uid="{00000000-0005-0000-0000-0000BE060000}"/>
    <cellStyle name="c_Pippen ValMatrix (2)" xfId="1070" xr:uid="{00000000-0005-0000-0000-0000BF060000}"/>
    <cellStyle name="c_Pippen ValMatrix (2)_Comparativo VP FIN v1_So 2008" xfId="6884" xr:uid="{00000000-0005-0000-0000-0000C0060000}"/>
    <cellStyle name="c_Pippen ValMatrix (2)_Comparativo VP MKT 2008 v1_So 2008" xfId="6885" xr:uid="{00000000-0005-0000-0000-0000C1060000}"/>
    <cellStyle name="c_Pippen ValMatrix (2)_Comparativo VP TEC 2008 v1_So 2008" xfId="6886" xr:uid="{00000000-0005-0000-0000-0000C2060000}"/>
    <cellStyle name="c_Pippen ValMatrix (2)_Comparativo VP TEC 2008_Luiz Sergio" xfId="6887" xr:uid="{00000000-0005-0000-0000-0000C3060000}"/>
    <cellStyle name="c_Pippen ValMatrix (2)_Cópia de Modelo - Fluxo de Caixa Orcamento 09052009_V36_3" xfId="1071" xr:uid="{00000000-0005-0000-0000-0000C4060000}"/>
    <cellStyle name="c_Pippen ValMatrix (2)_Fluxo de Caixa Orcamento FINAL_13052009" xfId="1072" xr:uid="{00000000-0005-0000-0000-0000C5060000}"/>
    <cellStyle name="c_Pippen ValMatrix (2)_FM_dummyV4" xfId="1073" xr:uid="{00000000-0005-0000-0000-0000C6060000}"/>
    <cellStyle name="c_Pippen ValMatrix (2)_lalur" xfId="1074" xr:uid="{00000000-0005-0000-0000-0000C7060000}"/>
    <cellStyle name="c_Pippen ValMatrix (2)_Leasing_V3" xfId="1075" xr:uid="{00000000-0005-0000-0000-0000C8060000}"/>
    <cellStyle name="c_Pippen ValMatrix (2)_MODELO PDP III" xfId="1076" xr:uid="{00000000-0005-0000-0000-0000C9060000}"/>
    <cellStyle name="c_Pippen ValMatrix (2)_ORÇ_2009" xfId="1077" xr:uid="{00000000-0005-0000-0000-0000CA060000}"/>
    <cellStyle name="c_Pippen ValMatrix (2)_Pasta2" xfId="1078" xr:uid="{00000000-0005-0000-0000-0000CB060000}"/>
    <cellStyle name="c_PMAT (2)" xfId="1079" xr:uid="{00000000-0005-0000-0000-0000CC060000}"/>
    <cellStyle name="c_PMAT (2)_Comparativo VP FIN v1_So 2008" xfId="6888" xr:uid="{00000000-0005-0000-0000-0000CD060000}"/>
    <cellStyle name="c_PMAT (2)_Comparativo VP MKT 2008 v1_So 2008" xfId="6889" xr:uid="{00000000-0005-0000-0000-0000CE060000}"/>
    <cellStyle name="c_PMAT (2)_Comparativo VP TEC 2008 v1_So 2008" xfId="6890" xr:uid="{00000000-0005-0000-0000-0000CF060000}"/>
    <cellStyle name="c_PMAT (2)_Comparativo VP TEC 2008_Luiz Sergio" xfId="6891" xr:uid="{00000000-0005-0000-0000-0000D0060000}"/>
    <cellStyle name="c_PMAT (2)_Cópia de Modelo - Fluxo de Caixa Orcamento 09052009_V36_3" xfId="1080" xr:uid="{00000000-0005-0000-0000-0000D1060000}"/>
    <cellStyle name="c_PMAT (2)_Fluxo de Caixa Orcamento FINAL_13052009" xfId="1081" xr:uid="{00000000-0005-0000-0000-0000D2060000}"/>
    <cellStyle name="c_PMAT (2)_FM_dummyV4" xfId="1082" xr:uid="{00000000-0005-0000-0000-0000D3060000}"/>
    <cellStyle name="c_PMAT (2)_lalur" xfId="1083" xr:uid="{00000000-0005-0000-0000-0000D4060000}"/>
    <cellStyle name="c_PMAT (2)_Leasing_V3" xfId="1084" xr:uid="{00000000-0005-0000-0000-0000D5060000}"/>
    <cellStyle name="c_PMAT (2)_MODELO PDP III" xfId="1085" xr:uid="{00000000-0005-0000-0000-0000D6060000}"/>
    <cellStyle name="c_PMAT (2)_ORÇ_2009" xfId="1086" xr:uid="{00000000-0005-0000-0000-0000D7060000}"/>
    <cellStyle name="c_PMAT (2)_Pasta2" xfId="1087" xr:uid="{00000000-0005-0000-0000-0000D8060000}"/>
    <cellStyle name="c_PMAT (3)" xfId="1088" xr:uid="{00000000-0005-0000-0000-0000D9060000}"/>
    <cellStyle name="c_PMAT (3)_Comparativo VP FIN v1_So 2008" xfId="6892" xr:uid="{00000000-0005-0000-0000-0000DA060000}"/>
    <cellStyle name="c_PMAT (3)_Comparativo VP MKT 2008 v1_So 2008" xfId="6893" xr:uid="{00000000-0005-0000-0000-0000DB060000}"/>
    <cellStyle name="c_PMAT (3)_Comparativo VP TEC 2008 v1_So 2008" xfId="6894" xr:uid="{00000000-0005-0000-0000-0000DC060000}"/>
    <cellStyle name="c_PMAT (3)_Comparativo VP TEC 2008_Luiz Sergio" xfId="6895" xr:uid="{00000000-0005-0000-0000-0000DD060000}"/>
    <cellStyle name="c_PMAT (3)_Cópia de Modelo - Fluxo de Caixa Orcamento 09052009_V36_3" xfId="1089" xr:uid="{00000000-0005-0000-0000-0000DE060000}"/>
    <cellStyle name="c_PMAT (3)_Fluxo de Caixa Orcamento FINAL_13052009" xfId="1090" xr:uid="{00000000-0005-0000-0000-0000DF060000}"/>
    <cellStyle name="c_PMAT (3)_FM_dummyV4" xfId="1091" xr:uid="{00000000-0005-0000-0000-0000E0060000}"/>
    <cellStyle name="c_PMAT (3)_lalur" xfId="1092" xr:uid="{00000000-0005-0000-0000-0000E1060000}"/>
    <cellStyle name="c_PMAT (3)_Leasing_V3" xfId="1093" xr:uid="{00000000-0005-0000-0000-0000E2060000}"/>
    <cellStyle name="c_PMAT (3)_MODELO PDP III" xfId="1094" xr:uid="{00000000-0005-0000-0000-0000E3060000}"/>
    <cellStyle name="c_PMAT (3)_ORÇ_2009" xfId="1095" xr:uid="{00000000-0005-0000-0000-0000E4060000}"/>
    <cellStyle name="c_PMAT (3)_Pasta2" xfId="1096" xr:uid="{00000000-0005-0000-0000-0000E5060000}"/>
    <cellStyle name="c_PoundInc" xfId="1097" xr:uid="{00000000-0005-0000-0000-0000E6060000}"/>
    <cellStyle name="c_PoundInc (2)" xfId="1098" xr:uid="{00000000-0005-0000-0000-0000E7060000}"/>
    <cellStyle name="c_PoundInc (2)_Comparativo VP FIN v1_So 2008" xfId="6896" xr:uid="{00000000-0005-0000-0000-0000E8060000}"/>
    <cellStyle name="c_PoundInc (2)_Comparativo VP MKT 2008 v1_So 2008" xfId="6897" xr:uid="{00000000-0005-0000-0000-0000E9060000}"/>
    <cellStyle name="c_PoundInc (2)_Comparativo VP TEC 2008 v1_So 2008" xfId="6898" xr:uid="{00000000-0005-0000-0000-0000EA060000}"/>
    <cellStyle name="c_PoundInc (2)_Comparativo VP TEC 2008_Luiz Sergio" xfId="6899" xr:uid="{00000000-0005-0000-0000-0000EB060000}"/>
    <cellStyle name="c_PoundInc (2)_Cópia de Modelo - Fluxo de Caixa Orcamento 09052009_V36_3" xfId="1099" xr:uid="{00000000-0005-0000-0000-0000EC060000}"/>
    <cellStyle name="c_PoundInc (2)_Fluxo de Caixa Orcamento FINAL_13052009" xfId="1100" xr:uid="{00000000-0005-0000-0000-0000ED060000}"/>
    <cellStyle name="c_PoundInc (2)_FM_dummyV4" xfId="1101" xr:uid="{00000000-0005-0000-0000-0000EE060000}"/>
    <cellStyle name="c_PoundInc (2)_lalur" xfId="1102" xr:uid="{00000000-0005-0000-0000-0000EF060000}"/>
    <cellStyle name="c_PoundInc (2)_Leasing_V3" xfId="1103" xr:uid="{00000000-0005-0000-0000-0000F0060000}"/>
    <cellStyle name="c_PoundInc (2)_MODELO PDP III" xfId="1104" xr:uid="{00000000-0005-0000-0000-0000F1060000}"/>
    <cellStyle name="c_PoundInc (2)_ORÇ_2009" xfId="1105" xr:uid="{00000000-0005-0000-0000-0000F2060000}"/>
    <cellStyle name="c_PoundInc (2)_Pasta2" xfId="1106" xr:uid="{00000000-0005-0000-0000-0000F3060000}"/>
    <cellStyle name="c_PoundInc_Comparativo VP FIN v1_So 2008" xfId="6900" xr:uid="{00000000-0005-0000-0000-0000F4060000}"/>
    <cellStyle name="c_PoundInc_Comparativo VP MKT 2008 v1_So 2008" xfId="6901" xr:uid="{00000000-0005-0000-0000-0000F5060000}"/>
    <cellStyle name="c_PoundInc_Comparativo VP TEC 2008 v1_So 2008" xfId="6902" xr:uid="{00000000-0005-0000-0000-0000F6060000}"/>
    <cellStyle name="c_PoundInc_Comparativo VP TEC 2008_Luiz Sergio" xfId="6903" xr:uid="{00000000-0005-0000-0000-0000F7060000}"/>
    <cellStyle name="c_PoundInc_Cópia de Modelo - Fluxo de Caixa Orcamento 09052009_V36_3" xfId="1107" xr:uid="{00000000-0005-0000-0000-0000F8060000}"/>
    <cellStyle name="c_PoundInc_Fluxo de Caixa Orcamento FINAL_13052009" xfId="1108" xr:uid="{00000000-0005-0000-0000-0000F9060000}"/>
    <cellStyle name="c_PoundInc_FM_dummyV4" xfId="1109" xr:uid="{00000000-0005-0000-0000-0000FA060000}"/>
    <cellStyle name="c_PoundInc_lalur" xfId="1110" xr:uid="{00000000-0005-0000-0000-0000FB060000}"/>
    <cellStyle name="c_PoundInc_Leasing_V3" xfId="1111" xr:uid="{00000000-0005-0000-0000-0000FC060000}"/>
    <cellStyle name="c_PoundInc_MODELO PDP III" xfId="1112" xr:uid="{00000000-0005-0000-0000-0000FD060000}"/>
    <cellStyle name="c_PoundInc_ORÇ_2009" xfId="1113" xr:uid="{00000000-0005-0000-0000-0000FE060000}"/>
    <cellStyle name="c_PoundInc_Pasta2" xfId="1114" xr:uid="{00000000-0005-0000-0000-0000FF060000}"/>
    <cellStyle name="c_Poundstone (2)" xfId="1115" xr:uid="{00000000-0005-0000-0000-000000070000}"/>
    <cellStyle name="c_Poundstone (2)_Comparativo VP FIN v1_So 2008" xfId="6904" xr:uid="{00000000-0005-0000-0000-000001070000}"/>
    <cellStyle name="c_Poundstone (2)_Comparativo VP MKT 2008 v1_So 2008" xfId="6905" xr:uid="{00000000-0005-0000-0000-000002070000}"/>
    <cellStyle name="c_Poundstone (2)_Comparativo VP TEC 2008 v1_So 2008" xfId="6906" xr:uid="{00000000-0005-0000-0000-000003070000}"/>
    <cellStyle name="c_Poundstone (2)_Comparativo VP TEC 2008_Luiz Sergio" xfId="6907" xr:uid="{00000000-0005-0000-0000-000004070000}"/>
    <cellStyle name="c_Poundstone (2)_Cópia de Modelo - Fluxo de Caixa Orcamento 09052009_V36_3" xfId="1116" xr:uid="{00000000-0005-0000-0000-000005070000}"/>
    <cellStyle name="c_Poundstone (2)_Fluxo de Caixa Orcamento FINAL_13052009" xfId="1117" xr:uid="{00000000-0005-0000-0000-000006070000}"/>
    <cellStyle name="c_Poundstone (2)_FM_dummyV4" xfId="1118" xr:uid="{00000000-0005-0000-0000-000007070000}"/>
    <cellStyle name="c_Poundstone (2)_lalur" xfId="1119" xr:uid="{00000000-0005-0000-0000-000008070000}"/>
    <cellStyle name="c_Poundstone (2)_Leasing_V3" xfId="1120" xr:uid="{00000000-0005-0000-0000-000009070000}"/>
    <cellStyle name="c_Poundstone (2)_MODELO PDP III" xfId="1121" xr:uid="{00000000-0005-0000-0000-00000A070000}"/>
    <cellStyle name="c_Poundstone (2)_ORÇ_2009" xfId="1122" xr:uid="{00000000-0005-0000-0000-00000B070000}"/>
    <cellStyle name="c_Poundstone (2)_Pasta2" xfId="1123" xr:uid="{00000000-0005-0000-0000-00000C070000}"/>
    <cellStyle name="c_Preliminary Poundstone (2)" xfId="1124" xr:uid="{00000000-0005-0000-0000-00000D070000}"/>
    <cellStyle name="c_Preliminary Poundstone (2)_Comparativo VP FIN v1_So 2008" xfId="6908" xr:uid="{00000000-0005-0000-0000-00000E070000}"/>
    <cellStyle name="c_Preliminary Poundstone (2)_Comparativo VP MKT 2008 v1_So 2008" xfId="6909" xr:uid="{00000000-0005-0000-0000-00000F070000}"/>
    <cellStyle name="c_Preliminary Poundstone (2)_Comparativo VP TEC 2008 v1_So 2008" xfId="6910" xr:uid="{00000000-0005-0000-0000-000010070000}"/>
    <cellStyle name="c_Preliminary Poundstone (2)_Comparativo VP TEC 2008_Luiz Sergio" xfId="6911" xr:uid="{00000000-0005-0000-0000-000011070000}"/>
    <cellStyle name="c_Preliminary Poundstone (2)_Cópia de Modelo - Fluxo de Caixa Orcamento 09052009_V36_3" xfId="1125" xr:uid="{00000000-0005-0000-0000-000012070000}"/>
    <cellStyle name="c_Preliminary Poundstone (2)_Fluxo de Caixa Orcamento FINAL_13052009" xfId="1126" xr:uid="{00000000-0005-0000-0000-000013070000}"/>
    <cellStyle name="c_Preliminary Poundstone (2)_FM_dummyV4" xfId="1127" xr:uid="{00000000-0005-0000-0000-000014070000}"/>
    <cellStyle name="c_Preliminary Poundstone (2)_lalur" xfId="1128" xr:uid="{00000000-0005-0000-0000-000015070000}"/>
    <cellStyle name="c_Preliminary Poundstone (2)_Leasing_V3" xfId="1129" xr:uid="{00000000-0005-0000-0000-000016070000}"/>
    <cellStyle name="c_Preliminary Poundstone (2)_MODELO PDP III" xfId="1130" xr:uid="{00000000-0005-0000-0000-000017070000}"/>
    <cellStyle name="c_Preliminary Poundstone (2)_ORÇ_2009" xfId="1131" xr:uid="{00000000-0005-0000-0000-000018070000}"/>
    <cellStyle name="c_Preliminary Poundstone (2)_Pasta2" xfId="1132" xr:uid="{00000000-0005-0000-0000-000019070000}"/>
    <cellStyle name="c_Q2 pipeline" xfId="1133" xr:uid="{00000000-0005-0000-0000-00001A070000}"/>
    <cellStyle name="c_Q2 pipeline 2" xfId="6912" xr:uid="{00000000-0005-0000-0000-00001B070000}"/>
    <cellStyle name="c_Q2 pipeline_Cópia de Modelo - Fluxo de Caixa Orcamento 09052009_V36_3" xfId="1134" xr:uid="{00000000-0005-0000-0000-00001C070000}"/>
    <cellStyle name="c_Q2 pipeline_Cópia de Modelo - Fluxo de Caixa Orcamento 09052009_V36_3 2" xfId="6913" xr:uid="{00000000-0005-0000-0000-00001D070000}"/>
    <cellStyle name="c_Q2 pipeline_Fluxo de Caixa Orcamento FINAL_13052009" xfId="1135" xr:uid="{00000000-0005-0000-0000-00001E070000}"/>
    <cellStyle name="c_Q2 pipeline_Fluxo de Caixa Orcamento FINAL_13052009 2" xfId="6914" xr:uid="{00000000-0005-0000-0000-00001F070000}"/>
    <cellStyle name="c_Q2 pipeline_FM_dummyV4" xfId="1136" xr:uid="{00000000-0005-0000-0000-000020070000}"/>
    <cellStyle name="c_Q2 pipeline_lalur" xfId="1137" xr:uid="{00000000-0005-0000-0000-000021070000}"/>
    <cellStyle name="c_Q2 pipeline_Leasing_V3" xfId="1138" xr:uid="{00000000-0005-0000-0000-000022070000}"/>
    <cellStyle name="c_Q2 pipeline_MODELO PDP III" xfId="1139" xr:uid="{00000000-0005-0000-0000-000023070000}"/>
    <cellStyle name="c_Q2 pipeline_ORÇ_2009" xfId="1140" xr:uid="{00000000-0005-0000-0000-000024070000}"/>
    <cellStyle name="c_Q2 pipeline_ORÇ_2009 2" xfId="6915" xr:uid="{00000000-0005-0000-0000-000025070000}"/>
    <cellStyle name="c_Q2 pipeline_Pasta2" xfId="1141" xr:uid="{00000000-0005-0000-0000-000026070000}"/>
    <cellStyle name="c_Q2 pipeline_Pasta2 2" xfId="6916" xr:uid="{00000000-0005-0000-0000-000027070000}"/>
    <cellStyle name="c_Resultados mensais - Arquivo base maio 2010" xfId="6917" xr:uid="{00000000-0005-0000-0000-000028070000}"/>
    <cellStyle name="c_Resultados mensais - Arquivo base maio 2010 2" xfId="9481" xr:uid="{00000000-0005-0000-0000-000029070000}"/>
    <cellStyle name="c_Resultados mensais - Arquivo base maio 2010_Base ITR Set-10 - Ajustes Resmat" xfId="6918" xr:uid="{00000000-0005-0000-0000-00002A070000}"/>
    <cellStyle name="c_RushValSum (2)" xfId="1142" xr:uid="{00000000-0005-0000-0000-00002B070000}"/>
    <cellStyle name="c_RushValSum (2)_Comparativo VP FIN v1_So 2008" xfId="6919" xr:uid="{00000000-0005-0000-0000-00002C070000}"/>
    <cellStyle name="c_RushValSum (2)_Comparativo VP MKT 2008 v1_So 2008" xfId="6920" xr:uid="{00000000-0005-0000-0000-00002D070000}"/>
    <cellStyle name="c_RushValSum (2)_Comparativo VP TEC 2008 v1_So 2008" xfId="6921" xr:uid="{00000000-0005-0000-0000-00002E070000}"/>
    <cellStyle name="c_RushValSum (2)_Comparativo VP TEC 2008_Luiz Sergio" xfId="6922" xr:uid="{00000000-0005-0000-0000-00002F070000}"/>
    <cellStyle name="c_RushValSum (2)_Cópia de Modelo - Fluxo de Caixa Orcamento 09052009_V36_3" xfId="1143" xr:uid="{00000000-0005-0000-0000-000030070000}"/>
    <cellStyle name="c_RushValSum (2)_Fluxo de Caixa Orcamento FINAL_13052009" xfId="1144" xr:uid="{00000000-0005-0000-0000-000031070000}"/>
    <cellStyle name="c_RushValSum (2)_FM_dummyV4" xfId="1145" xr:uid="{00000000-0005-0000-0000-000032070000}"/>
    <cellStyle name="c_RushValSum (2)_lalur" xfId="1146" xr:uid="{00000000-0005-0000-0000-000033070000}"/>
    <cellStyle name="c_RushValSum (2)_Leasing_V3" xfId="1147" xr:uid="{00000000-0005-0000-0000-000034070000}"/>
    <cellStyle name="c_RushValSum (2)_MODELO PDP III" xfId="1148" xr:uid="{00000000-0005-0000-0000-000035070000}"/>
    <cellStyle name="c_RushValSum (2)_ORÇ_2009" xfId="1149" xr:uid="{00000000-0005-0000-0000-000036070000}"/>
    <cellStyle name="c_RushValSum (2)_Pasta2" xfId="1150" xr:uid="{00000000-0005-0000-0000-000037070000}"/>
    <cellStyle name="c_Schedules" xfId="1151" xr:uid="{00000000-0005-0000-0000-000038070000}"/>
    <cellStyle name="c_Schedules_Comparativo VP FIN v1_So 2008" xfId="6923" xr:uid="{00000000-0005-0000-0000-000039070000}"/>
    <cellStyle name="c_Schedules_Comparativo VP MKT 2008 v1_So 2008" xfId="6924" xr:uid="{00000000-0005-0000-0000-00003A070000}"/>
    <cellStyle name="c_Schedules_Comparativo VP TEC 2008 v1_So 2008" xfId="6925" xr:uid="{00000000-0005-0000-0000-00003B070000}"/>
    <cellStyle name="c_Schedules_Comparativo VP TEC 2008_Luiz Sergio" xfId="6926" xr:uid="{00000000-0005-0000-0000-00003C070000}"/>
    <cellStyle name="c_Schedules_Cópia de Modelo - Fluxo de Caixa Orcamento 09052009_V36_3" xfId="1152" xr:uid="{00000000-0005-0000-0000-00003D070000}"/>
    <cellStyle name="c_Schedules_Fluxo de Caixa Orcamento FINAL_13052009" xfId="1153" xr:uid="{00000000-0005-0000-0000-00003E070000}"/>
    <cellStyle name="c_Schedules_FM_dummyV4" xfId="1154" xr:uid="{00000000-0005-0000-0000-00003F070000}"/>
    <cellStyle name="c_Schedules_lalur" xfId="1155" xr:uid="{00000000-0005-0000-0000-000040070000}"/>
    <cellStyle name="c_Schedules_Leasing_V3" xfId="1156" xr:uid="{00000000-0005-0000-0000-000041070000}"/>
    <cellStyle name="c_Schedules_MODELO PDP III" xfId="1157" xr:uid="{00000000-0005-0000-0000-000042070000}"/>
    <cellStyle name="c_Schedules_ORÇ_2009" xfId="1158" xr:uid="{00000000-0005-0000-0000-000043070000}"/>
    <cellStyle name="c_Schedules_Pasta2" xfId="1159" xr:uid="{00000000-0005-0000-0000-000044070000}"/>
    <cellStyle name="c_Statement Sky - Finance" xfId="1160" xr:uid="{00000000-0005-0000-0000-000045070000}"/>
    <cellStyle name="c_Stub Value" xfId="1161" xr:uid="{00000000-0005-0000-0000-000046070000}"/>
    <cellStyle name="c_Stub Value_Comparativo VP FIN v1_So 2008" xfId="6927" xr:uid="{00000000-0005-0000-0000-000047070000}"/>
    <cellStyle name="c_Stub Value_Comparativo VP MKT 2008 v1_So 2008" xfId="6928" xr:uid="{00000000-0005-0000-0000-000048070000}"/>
    <cellStyle name="c_Stub Value_Comparativo VP TEC 2008 v1_So 2008" xfId="6929" xr:uid="{00000000-0005-0000-0000-000049070000}"/>
    <cellStyle name="c_Stub Value_Comparativo VP TEC 2008_Luiz Sergio" xfId="6930" xr:uid="{00000000-0005-0000-0000-00004A070000}"/>
    <cellStyle name="c_Stub Value_Cópia de Modelo - Fluxo de Caixa Orcamento 09052009_V36_3" xfId="1162" xr:uid="{00000000-0005-0000-0000-00004B070000}"/>
    <cellStyle name="c_Stub Value_Fluxo de Caixa Orcamento FINAL_13052009" xfId="1163" xr:uid="{00000000-0005-0000-0000-00004C070000}"/>
    <cellStyle name="c_Stub Value_FM_dummyV4" xfId="1164" xr:uid="{00000000-0005-0000-0000-00004D070000}"/>
    <cellStyle name="c_Stub Value_lalur" xfId="1165" xr:uid="{00000000-0005-0000-0000-00004E070000}"/>
    <cellStyle name="c_Stub Value_Leasing_V3" xfId="1166" xr:uid="{00000000-0005-0000-0000-00004F070000}"/>
    <cellStyle name="c_Stub Value_MODELO PDP III" xfId="1167" xr:uid="{00000000-0005-0000-0000-000050070000}"/>
    <cellStyle name="c_Stub Value_ORÇ_2009" xfId="1168" xr:uid="{00000000-0005-0000-0000-000051070000}"/>
    <cellStyle name="c_Stub Value_Pasta2" xfId="1169" xr:uid="{00000000-0005-0000-0000-000052070000}"/>
    <cellStyle name="c_Summary of Pro Forma (2)" xfId="1170" xr:uid="{00000000-0005-0000-0000-000053070000}"/>
    <cellStyle name="c_Summary of Pro Forma (2)_Comparativo VP FIN v1_So 2008" xfId="6931" xr:uid="{00000000-0005-0000-0000-000054070000}"/>
    <cellStyle name="c_Summary of Pro Forma (2)_Comparativo VP MKT 2008 v1_So 2008" xfId="6932" xr:uid="{00000000-0005-0000-0000-000055070000}"/>
    <cellStyle name="c_Summary of Pro Forma (2)_Comparativo VP TEC 2008 v1_So 2008" xfId="6933" xr:uid="{00000000-0005-0000-0000-000056070000}"/>
    <cellStyle name="c_Summary of Pro Forma (2)_Comparativo VP TEC 2008_Luiz Sergio" xfId="6934" xr:uid="{00000000-0005-0000-0000-000057070000}"/>
    <cellStyle name="c_Summary of Pro Forma (2)_Cópia de Modelo - Fluxo de Caixa Orcamento 09052009_V36_3" xfId="1171" xr:uid="{00000000-0005-0000-0000-000058070000}"/>
    <cellStyle name="c_Summary of Pro Forma (2)_Fluxo de Caixa Orcamento FINAL_13052009" xfId="1172" xr:uid="{00000000-0005-0000-0000-000059070000}"/>
    <cellStyle name="c_Summary of Pro Forma (2)_FM_dummyV4" xfId="1173" xr:uid="{00000000-0005-0000-0000-00005A070000}"/>
    <cellStyle name="c_Summary of Pro Forma (2)_lalur" xfId="1174" xr:uid="{00000000-0005-0000-0000-00005B070000}"/>
    <cellStyle name="c_Summary of Pro Forma (2)_Leasing_V3" xfId="1175" xr:uid="{00000000-0005-0000-0000-00005C070000}"/>
    <cellStyle name="c_Summary of Pro Forma (2)_MODELO PDP III" xfId="1176" xr:uid="{00000000-0005-0000-0000-00005D070000}"/>
    <cellStyle name="c_Summary of Pro Forma (2)_ORÇ_2009" xfId="1177" xr:uid="{00000000-0005-0000-0000-00005E070000}"/>
    <cellStyle name="c_Summary of Pro Forma (2)_Pasta2" xfId="1178" xr:uid="{00000000-0005-0000-0000-00005F070000}"/>
    <cellStyle name="c_Summary of Pro Forma (3)" xfId="1179" xr:uid="{00000000-0005-0000-0000-000060070000}"/>
    <cellStyle name="c_Summary of Pro Forma (3)_Comparativo VP FIN v1_So 2008" xfId="6935" xr:uid="{00000000-0005-0000-0000-000061070000}"/>
    <cellStyle name="c_Summary of Pro Forma (3)_Comparativo VP MKT 2008 v1_So 2008" xfId="6936" xr:uid="{00000000-0005-0000-0000-000062070000}"/>
    <cellStyle name="c_Summary of Pro Forma (3)_Comparativo VP TEC 2008 v1_So 2008" xfId="6937" xr:uid="{00000000-0005-0000-0000-000063070000}"/>
    <cellStyle name="c_Summary of Pro Forma (3)_Comparativo VP TEC 2008_Luiz Sergio" xfId="6938" xr:uid="{00000000-0005-0000-0000-000064070000}"/>
    <cellStyle name="c_Summary of Pro Forma (3)_Cópia de Modelo - Fluxo de Caixa Orcamento 09052009_V36_3" xfId="1180" xr:uid="{00000000-0005-0000-0000-000065070000}"/>
    <cellStyle name="c_Summary of Pro Forma (3)_Fluxo de Caixa Orcamento FINAL_13052009" xfId="1181" xr:uid="{00000000-0005-0000-0000-000066070000}"/>
    <cellStyle name="c_Summary of Pro Forma (3)_FM_dummyV4" xfId="1182" xr:uid="{00000000-0005-0000-0000-000067070000}"/>
    <cellStyle name="c_Summary of Pro Forma (3)_lalur" xfId="1183" xr:uid="{00000000-0005-0000-0000-000068070000}"/>
    <cellStyle name="c_Summary of Pro Forma (3)_Leasing_V3" xfId="1184" xr:uid="{00000000-0005-0000-0000-000069070000}"/>
    <cellStyle name="c_Summary of Pro Forma (3)_MODELO PDP III" xfId="1185" xr:uid="{00000000-0005-0000-0000-00006A070000}"/>
    <cellStyle name="c_Summary of Pro Forma (3)_ORÇ_2009" xfId="1186" xr:uid="{00000000-0005-0000-0000-00006B070000}"/>
    <cellStyle name="c_Summary of Pro Forma (3)_Pasta2" xfId="1187" xr:uid="{00000000-0005-0000-0000-00006C070000}"/>
    <cellStyle name="c_Texas_Louisiana (2)" xfId="1188" xr:uid="{00000000-0005-0000-0000-00006D070000}"/>
    <cellStyle name="c_Texas_Louisiana (2)_Comparativo VP FIN v1_So 2008" xfId="6939" xr:uid="{00000000-0005-0000-0000-00006E070000}"/>
    <cellStyle name="c_Texas_Louisiana (2)_Comparativo VP MKT 2008 v1_So 2008" xfId="6940" xr:uid="{00000000-0005-0000-0000-00006F070000}"/>
    <cellStyle name="c_Texas_Louisiana (2)_Comparativo VP TEC 2008 v1_So 2008" xfId="6941" xr:uid="{00000000-0005-0000-0000-000070070000}"/>
    <cellStyle name="c_Texas_Louisiana (2)_Comparativo VP TEC 2008_Luiz Sergio" xfId="6942" xr:uid="{00000000-0005-0000-0000-000071070000}"/>
    <cellStyle name="c_Texas_Louisiana (2)_Cópia de Modelo - Fluxo de Caixa Orcamento 09052009_V36_3" xfId="1189" xr:uid="{00000000-0005-0000-0000-000072070000}"/>
    <cellStyle name="c_Texas_Louisiana (2)_Fluxo de Caixa Orcamento FINAL_13052009" xfId="1190" xr:uid="{00000000-0005-0000-0000-000073070000}"/>
    <cellStyle name="c_Texas_Louisiana (2)_FM_dummyV4" xfId="1191" xr:uid="{00000000-0005-0000-0000-000074070000}"/>
    <cellStyle name="c_Texas_Louisiana (2)_lalur" xfId="1192" xr:uid="{00000000-0005-0000-0000-000075070000}"/>
    <cellStyle name="c_Texas_Louisiana (2)_Leasing_V3" xfId="1193" xr:uid="{00000000-0005-0000-0000-000076070000}"/>
    <cellStyle name="c_Texas_Louisiana (2)_MODELO PDP III" xfId="1194" xr:uid="{00000000-0005-0000-0000-000077070000}"/>
    <cellStyle name="c_Texas_Louisiana (2)_ORÇ_2009" xfId="1195" xr:uid="{00000000-0005-0000-0000-000078070000}"/>
    <cellStyle name="c_Texas_Louisiana (2)_Pasta2" xfId="1196" xr:uid="{00000000-0005-0000-0000-000079070000}"/>
    <cellStyle name="c_Timex-Gucci Merger2" xfId="1197" xr:uid="{00000000-0005-0000-0000-00007A070000}"/>
    <cellStyle name="c_Timex-Gucci Merger2_Comparativo VP FIN v1_So 2008" xfId="6943" xr:uid="{00000000-0005-0000-0000-00007B070000}"/>
    <cellStyle name="c_Timex-Gucci Merger2_Comparativo VP MKT 2008 v1_So 2008" xfId="6944" xr:uid="{00000000-0005-0000-0000-00007C070000}"/>
    <cellStyle name="c_Timex-Gucci Merger2_Comparativo VP TEC 2008 v1_So 2008" xfId="6945" xr:uid="{00000000-0005-0000-0000-00007D070000}"/>
    <cellStyle name="c_Timex-Gucci Merger2_Comparativo VP TEC 2008_Luiz Sergio" xfId="6946" xr:uid="{00000000-0005-0000-0000-00007E070000}"/>
    <cellStyle name="c_Timex-Gucci Merger2_Cópia de Modelo - Fluxo de Caixa Orcamento 09052009_V36_3" xfId="1198" xr:uid="{00000000-0005-0000-0000-00007F070000}"/>
    <cellStyle name="c_Timex-Gucci Merger2_Fluxo de Caixa Orcamento FINAL_13052009" xfId="1199" xr:uid="{00000000-0005-0000-0000-000080070000}"/>
    <cellStyle name="c_Timex-Gucci Merger2_FM_dummyV4" xfId="1200" xr:uid="{00000000-0005-0000-0000-000081070000}"/>
    <cellStyle name="c_Timex-Gucci Merger2_lalur" xfId="1201" xr:uid="{00000000-0005-0000-0000-000082070000}"/>
    <cellStyle name="c_Timex-Gucci Merger2_Leasing_V3" xfId="1202" xr:uid="{00000000-0005-0000-0000-000083070000}"/>
    <cellStyle name="c_Timex-Gucci Merger2_MODELO PDP III" xfId="1203" xr:uid="{00000000-0005-0000-0000-000084070000}"/>
    <cellStyle name="c_Timex-Gucci Merger2_ORÇ_2009" xfId="1204" xr:uid="{00000000-0005-0000-0000-000085070000}"/>
    <cellStyle name="c_Timex-Gucci Merger2_Pasta2" xfId="1205" xr:uid="{00000000-0005-0000-0000-000086070000}"/>
    <cellStyle name="c_Trans Assump (2)" xfId="1206" xr:uid="{00000000-0005-0000-0000-000087070000}"/>
    <cellStyle name="c_Trans Assump (2)_Comparativo VP FIN v1_So 2008" xfId="6947" xr:uid="{00000000-0005-0000-0000-000088070000}"/>
    <cellStyle name="c_Trans Assump (2)_Comparativo VP MKT 2008 v1_So 2008" xfId="6948" xr:uid="{00000000-0005-0000-0000-000089070000}"/>
    <cellStyle name="c_Trans Assump (2)_Comparativo VP TEC 2008 v1_So 2008" xfId="6949" xr:uid="{00000000-0005-0000-0000-00008A070000}"/>
    <cellStyle name="c_Trans Assump (2)_Comparativo VP TEC 2008_Luiz Sergio" xfId="6950" xr:uid="{00000000-0005-0000-0000-00008B070000}"/>
    <cellStyle name="c_Trans Assump (2)_Cópia de Modelo - Fluxo de Caixa Orcamento 09052009_V36_3" xfId="1207" xr:uid="{00000000-0005-0000-0000-00008C070000}"/>
    <cellStyle name="c_Trans Assump (2)_Fluxo de Caixa Orcamento FINAL_13052009" xfId="1208" xr:uid="{00000000-0005-0000-0000-00008D070000}"/>
    <cellStyle name="c_Trans Assump (2)_FM_dummyV4" xfId="1209" xr:uid="{00000000-0005-0000-0000-00008E070000}"/>
    <cellStyle name="c_Trans Assump (2)_lalur" xfId="1210" xr:uid="{00000000-0005-0000-0000-00008F070000}"/>
    <cellStyle name="c_Trans Assump (2)_Leasing_V3" xfId="1211" xr:uid="{00000000-0005-0000-0000-000090070000}"/>
    <cellStyle name="c_Trans Assump (2)_MODELO PDP III" xfId="1212" xr:uid="{00000000-0005-0000-0000-000091070000}"/>
    <cellStyle name="c_Trans Assump (2)_ORÇ_2009" xfId="1213" xr:uid="{00000000-0005-0000-0000-000092070000}"/>
    <cellStyle name="c_Trans Assump (2)_Pasta2" xfId="1214" xr:uid="{00000000-0005-0000-0000-000093070000}"/>
    <cellStyle name="c_Unit Price Sen. (2)" xfId="1215" xr:uid="{00000000-0005-0000-0000-000094070000}"/>
    <cellStyle name="c_Unit Price Sen. (2)_Comparativo VP FIN v1_So 2008" xfId="6951" xr:uid="{00000000-0005-0000-0000-000095070000}"/>
    <cellStyle name="c_Unit Price Sen. (2)_Comparativo VP MKT 2008 v1_So 2008" xfId="6952" xr:uid="{00000000-0005-0000-0000-000096070000}"/>
    <cellStyle name="c_Unit Price Sen. (2)_Comparativo VP TEC 2008 v1_So 2008" xfId="6953" xr:uid="{00000000-0005-0000-0000-000097070000}"/>
    <cellStyle name="c_Unit Price Sen. (2)_Comparativo VP TEC 2008_Luiz Sergio" xfId="6954" xr:uid="{00000000-0005-0000-0000-000098070000}"/>
    <cellStyle name="c_Unit Price Sen. (2)_Cópia de Modelo - Fluxo de Caixa Orcamento 09052009_V36_3" xfId="1216" xr:uid="{00000000-0005-0000-0000-000099070000}"/>
    <cellStyle name="c_Unit Price Sen. (2)_Fluxo de Caixa Orcamento FINAL_13052009" xfId="1217" xr:uid="{00000000-0005-0000-0000-00009A070000}"/>
    <cellStyle name="c_Unit Price Sen. (2)_FM_dummyV4" xfId="1218" xr:uid="{00000000-0005-0000-0000-00009B070000}"/>
    <cellStyle name="c_Unit Price Sen. (2)_lalur" xfId="1219" xr:uid="{00000000-0005-0000-0000-00009C070000}"/>
    <cellStyle name="c_Unit Price Sen. (2)_Leasing_V3" xfId="1220" xr:uid="{00000000-0005-0000-0000-00009D070000}"/>
    <cellStyle name="c_Unit Price Sen. (2)_MODELO PDP III" xfId="1221" xr:uid="{00000000-0005-0000-0000-00009E070000}"/>
    <cellStyle name="c_Unit Price Sen. (2)_ORÇ_2009" xfId="1222" xr:uid="{00000000-0005-0000-0000-00009F070000}"/>
    <cellStyle name="c_Unit Price Sen. (2)_Pasta2" xfId="1223" xr:uid="{00000000-0005-0000-0000-0000A0070000}"/>
    <cellStyle name="c_Valuation Summary" xfId="1224" xr:uid="{00000000-0005-0000-0000-0000A1070000}"/>
    <cellStyle name="c_Valuation Summary (2)" xfId="1225" xr:uid="{00000000-0005-0000-0000-0000A2070000}"/>
    <cellStyle name="c_Valuation Summary (2)_Comparativo VP FIN v1_So 2008" xfId="6955" xr:uid="{00000000-0005-0000-0000-0000A3070000}"/>
    <cellStyle name="c_Valuation Summary (2)_Comparativo VP MKT 2008 v1_So 2008" xfId="6956" xr:uid="{00000000-0005-0000-0000-0000A4070000}"/>
    <cellStyle name="c_Valuation Summary (2)_Comparativo VP TEC 2008 v1_So 2008" xfId="6957" xr:uid="{00000000-0005-0000-0000-0000A5070000}"/>
    <cellStyle name="c_Valuation Summary (2)_Comparativo VP TEC 2008_Luiz Sergio" xfId="6958" xr:uid="{00000000-0005-0000-0000-0000A6070000}"/>
    <cellStyle name="c_Valuation Summary (2)_Cópia de Modelo - Fluxo de Caixa Orcamento 09052009_V36_3" xfId="1226" xr:uid="{00000000-0005-0000-0000-0000A7070000}"/>
    <cellStyle name="c_Valuation Summary (2)_Fluxo de Caixa Orcamento FINAL_13052009" xfId="1227" xr:uid="{00000000-0005-0000-0000-0000A8070000}"/>
    <cellStyle name="c_Valuation Summary (2)_FM_dummyV4" xfId="1228" xr:uid="{00000000-0005-0000-0000-0000A9070000}"/>
    <cellStyle name="c_Valuation Summary (2)_lalur" xfId="1229" xr:uid="{00000000-0005-0000-0000-0000AA070000}"/>
    <cellStyle name="c_Valuation Summary (2)_Leasing_V3" xfId="1230" xr:uid="{00000000-0005-0000-0000-0000AB070000}"/>
    <cellStyle name="c_Valuation Summary (2)_MODELO PDP III" xfId="1231" xr:uid="{00000000-0005-0000-0000-0000AC070000}"/>
    <cellStyle name="c_Valuation Summary (2)_ORÇ_2009" xfId="1232" xr:uid="{00000000-0005-0000-0000-0000AD070000}"/>
    <cellStyle name="c_Valuation Summary (2)_Pasta2" xfId="1233" xr:uid="{00000000-0005-0000-0000-0000AE070000}"/>
    <cellStyle name="c_Valuation Summary_Comparativo VP FIN v1_So 2008" xfId="6959" xr:uid="{00000000-0005-0000-0000-0000AF070000}"/>
    <cellStyle name="c_Valuation Summary_Comparativo VP MKT 2008 v1_So 2008" xfId="6960" xr:uid="{00000000-0005-0000-0000-0000B0070000}"/>
    <cellStyle name="c_Valuation Summary_Comparativo VP TEC 2008 v1_So 2008" xfId="6961" xr:uid="{00000000-0005-0000-0000-0000B1070000}"/>
    <cellStyle name="c_Valuation Summary_Comparativo VP TEC 2008_Luiz Sergio" xfId="6962" xr:uid="{00000000-0005-0000-0000-0000B2070000}"/>
    <cellStyle name="c_Valuation Summary_Cópia de Modelo - Fluxo de Caixa Orcamento 09052009_V36_3" xfId="1234" xr:uid="{00000000-0005-0000-0000-0000B3070000}"/>
    <cellStyle name="c_Valuation Summary_Fluxo de Caixa Orcamento FINAL_13052009" xfId="1235" xr:uid="{00000000-0005-0000-0000-0000B4070000}"/>
    <cellStyle name="c_Valuation Summary_FM_dummyV4" xfId="1236" xr:uid="{00000000-0005-0000-0000-0000B5070000}"/>
    <cellStyle name="c_Valuation Summary_lalur" xfId="1237" xr:uid="{00000000-0005-0000-0000-0000B6070000}"/>
    <cellStyle name="c_Valuation Summary_Leasing_V3" xfId="1238" xr:uid="{00000000-0005-0000-0000-0000B7070000}"/>
    <cellStyle name="c_Valuation Summary_MODELO PDP III" xfId="1239" xr:uid="{00000000-0005-0000-0000-0000B8070000}"/>
    <cellStyle name="c_Valuation Summary_ORÇ_2009" xfId="1240" xr:uid="{00000000-0005-0000-0000-0000B9070000}"/>
    <cellStyle name="c_Valuation Summary_Pasta2" xfId="1241" xr:uid="{00000000-0005-0000-0000-0000BA070000}"/>
    <cellStyle name="c_Warrant" xfId="1242" xr:uid="{00000000-0005-0000-0000-0000BB070000}"/>
    <cellStyle name="c_Warrant_Comparativo VP FIN v1_So 2008" xfId="6963" xr:uid="{00000000-0005-0000-0000-0000BC070000}"/>
    <cellStyle name="c_Warrant_Comparativo VP MKT 2008 v1_So 2008" xfId="6964" xr:uid="{00000000-0005-0000-0000-0000BD070000}"/>
    <cellStyle name="c_Warrant_Comparativo VP TEC 2008 v1_So 2008" xfId="6965" xr:uid="{00000000-0005-0000-0000-0000BE070000}"/>
    <cellStyle name="c_Warrant_Comparativo VP TEC 2008_Luiz Sergio" xfId="6966" xr:uid="{00000000-0005-0000-0000-0000BF070000}"/>
    <cellStyle name="c_Warrant_Cópia de Modelo - Fluxo de Caixa Orcamento 09052009_V36_3" xfId="1243" xr:uid="{00000000-0005-0000-0000-0000C0070000}"/>
    <cellStyle name="c_Warrant_Fluxo de Caixa Orcamento FINAL_13052009" xfId="1244" xr:uid="{00000000-0005-0000-0000-0000C1070000}"/>
    <cellStyle name="c_Warrant_FM_dummyV4" xfId="1245" xr:uid="{00000000-0005-0000-0000-0000C2070000}"/>
    <cellStyle name="c_Warrant_lalur" xfId="1246" xr:uid="{00000000-0005-0000-0000-0000C3070000}"/>
    <cellStyle name="c_Warrant_Leasing_V3" xfId="1247" xr:uid="{00000000-0005-0000-0000-0000C4070000}"/>
    <cellStyle name="c_Warrant_MODELO PDP III" xfId="1248" xr:uid="{00000000-0005-0000-0000-0000C5070000}"/>
    <cellStyle name="c_Warrant_ORÇ_2009" xfId="1249" xr:uid="{00000000-0005-0000-0000-0000C6070000}"/>
    <cellStyle name="c_Warrant_Pasta2" xfId="1250" xr:uid="{00000000-0005-0000-0000-0000C7070000}"/>
    <cellStyle name="c0" xfId="1251" xr:uid="{00000000-0005-0000-0000-0000C8070000}"/>
    <cellStyle name="c0 2" xfId="6967" xr:uid="{00000000-0005-0000-0000-0000C9070000}"/>
    <cellStyle name="c2" xfId="1252" xr:uid="{00000000-0005-0000-0000-0000CA070000}"/>
    <cellStyle name="c2 2" xfId="6968" xr:uid="{00000000-0005-0000-0000-0000CB070000}"/>
    <cellStyle name="Cabeçalho 1" xfId="9482" xr:uid="{00000000-0005-0000-0000-0000CC070000}"/>
    <cellStyle name="Cabeçalho 2" xfId="9483" xr:uid="{00000000-0005-0000-0000-0000CD070000}"/>
    <cellStyle name="Calc Currency (0)" xfId="1253" xr:uid="{00000000-0005-0000-0000-0000CE070000}"/>
    <cellStyle name="Calc Currency (0) 2" xfId="6969" xr:uid="{00000000-0005-0000-0000-0000CF070000}"/>
    <cellStyle name="Calc Currency (2)" xfId="1254" xr:uid="{00000000-0005-0000-0000-0000D0070000}"/>
    <cellStyle name="Calc Currency (2) 2" xfId="6970" xr:uid="{00000000-0005-0000-0000-0000D1070000}"/>
    <cellStyle name="Calc Percent (0)" xfId="1255" xr:uid="{00000000-0005-0000-0000-0000D2070000}"/>
    <cellStyle name="Calc Percent (0) 2" xfId="6971" xr:uid="{00000000-0005-0000-0000-0000D3070000}"/>
    <cellStyle name="Calc Percent (1)" xfId="1256" xr:uid="{00000000-0005-0000-0000-0000D4070000}"/>
    <cellStyle name="Calc Percent (1) 2" xfId="6972" xr:uid="{00000000-0005-0000-0000-0000D5070000}"/>
    <cellStyle name="Calc Percent (2)" xfId="1257" xr:uid="{00000000-0005-0000-0000-0000D6070000}"/>
    <cellStyle name="Calc Percent (2) 2" xfId="6973" xr:uid="{00000000-0005-0000-0000-0000D7070000}"/>
    <cellStyle name="Calc Units (0)" xfId="1258" xr:uid="{00000000-0005-0000-0000-0000D8070000}"/>
    <cellStyle name="Calc Units (0) 2" xfId="6974" xr:uid="{00000000-0005-0000-0000-0000D9070000}"/>
    <cellStyle name="Calc Units (1)" xfId="1259" xr:uid="{00000000-0005-0000-0000-0000DA070000}"/>
    <cellStyle name="Calc Units (1) 2" xfId="6975" xr:uid="{00000000-0005-0000-0000-0000DB070000}"/>
    <cellStyle name="Calc Units (2)" xfId="1260" xr:uid="{00000000-0005-0000-0000-0000DC070000}"/>
    <cellStyle name="Calc Units (2) 2" xfId="6976" xr:uid="{00000000-0005-0000-0000-0000DD070000}"/>
    <cellStyle name="Calculado" xfId="1261" xr:uid="{00000000-0005-0000-0000-0000DE070000}"/>
    <cellStyle name="Calculation" xfId="1262" xr:uid="{00000000-0005-0000-0000-0000DF070000}"/>
    <cellStyle name="Calculation 2" xfId="1263" xr:uid="{00000000-0005-0000-0000-0000E0070000}"/>
    <cellStyle name="Cálculo 2" xfId="23" xr:uid="{00000000-0005-0000-0000-0000E1070000}"/>
    <cellStyle name="Cálculo 2 2" xfId="6977" xr:uid="{00000000-0005-0000-0000-0000E2070000}"/>
    <cellStyle name="Cálculo 3" xfId="6978" xr:uid="{00000000-0005-0000-0000-0000E3070000}"/>
    <cellStyle name="Cálculo 3 2" xfId="6979" xr:uid="{00000000-0005-0000-0000-0000E4070000}"/>
    <cellStyle name="Cálculo 4" xfId="6980" xr:uid="{00000000-0005-0000-0000-0000E5070000}"/>
    <cellStyle name="Cálculo 4 2" xfId="6981" xr:uid="{00000000-0005-0000-0000-0000E6070000}"/>
    <cellStyle name="Cálculo 5" xfId="9484" xr:uid="{00000000-0005-0000-0000-0000E7070000}"/>
    <cellStyle name="Cálculo 6" xfId="9485" xr:uid="{00000000-0005-0000-0000-0000E8070000}"/>
    <cellStyle name="Cálculo 7" xfId="9486" xr:uid="{00000000-0005-0000-0000-0000E9070000}"/>
    <cellStyle name="Cálculo 8" xfId="6251" xr:uid="{00000000-0005-0000-0000-0000EA070000}"/>
    <cellStyle name="Cancel" xfId="1264" xr:uid="{00000000-0005-0000-0000-0000EB070000}"/>
    <cellStyle name="Cancel 2" xfId="1265" xr:uid="{00000000-0005-0000-0000-0000EC070000}"/>
    <cellStyle name="Cancel 2 2" xfId="1266" xr:uid="{00000000-0005-0000-0000-0000ED070000}"/>
    <cellStyle name="Cancel 3" xfId="1267" xr:uid="{00000000-0005-0000-0000-0000EE070000}"/>
    <cellStyle name="Cancel 4" xfId="1268" xr:uid="{00000000-0005-0000-0000-0000EF070000}"/>
    <cellStyle name="Cancel_INFO" xfId="1269" xr:uid="{00000000-0005-0000-0000-0000F0070000}"/>
    <cellStyle name="cell" xfId="6982" xr:uid="{00000000-0005-0000-0000-0000F1070000}"/>
    <cellStyle name="Célula de Verificação 2" xfId="24" xr:uid="{00000000-0005-0000-0000-0000F2070000}"/>
    <cellStyle name="Célula de Verificação 2 2" xfId="6232" xr:uid="{00000000-0005-0000-0000-0000F3070000}"/>
    <cellStyle name="Célula de Verificação 3" xfId="6233" xr:uid="{00000000-0005-0000-0000-0000F4070000}"/>
    <cellStyle name="Célula de Verificação 4" xfId="6983" xr:uid="{00000000-0005-0000-0000-0000F5070000}"/>
    <cellStyle name="Célula de Verificação 5" xfId="9487" xr:uid="{00000000-0005-0000-0000-0000F6070000}"/>
    <cellStyle name="Célula de Verificação 6" xfId="9488" xr:uid="{00000000-0005-0000-0000-0000F7070000}"/>
    <cellStyle name="Célula de Verificação 7" xfId="9489" xr:uid="{00000000-0005-0000-0000-0000F8070000}"/>
    <cellStyle name="Célula de Verificação 8" xfId="6253" xr:uid="{00000000-0005-0000-0000-0000F9070000}"/>
    <cellStyle name="Célula Vinculada 2" xfId="25" xr:uid="{00000000-0005-0000-0000-0000FA070000}"/>
    <cellStyle name="Célula Vinculada 3" xfId="6234" xr:uid="{00000000-0005-0000-0000-0000FB070000}"/>
    <cellStyle name="Célula Vinculada 4" xfId="6984" xr:uid="{00000000-0005-0000-0000-0000FC070000}"/>
    <cellStyle name="Célula Vinculada 5" xfId="9490" xr:uid="{00000000-0005-0000-0000-0000FD070000}"/>
    <cellStyle name="Célula Vinculada 6" xfId="9491" xr:uid="{00000000-0005-0000-0000-0000FE070000}"/>
    <cellStyle name="Célula Vinculada 7" xfId="9492" xr:uid="{00000000-0005-0000-0000-0000FF070000}"/>
    <cellStyle name="Célula Vinculada 8" xfId="6252" xr:uid="{00000000-0005-0000-0000-000000080000}"/>
    <cellStyle name="CélulaBase" xfId="1270" xr:uid="{00000000-0005-0000-0000-000001080000}"/>
    <cellStyle name="Centered Heading" xfId="1271" xr:uid="{00000000-0005-0000-0000-000002080000}"/>
    <cellStyle name="CenterHead" xfId="1272" xr:uid="{00000000-0005-0000-0000-000003080000}"/>
    <cellStyle name="ch" xfId="6985" xr:uid="{00000000-0005-0000-0000-000004080000}"/>
    <cellStyle name="Changeable" xfId="1273" xr:uid="{00000000-0005-0000-0000-000005080000}"/>
    <cellStyle name="Check Cell" xfId="1274" xr:uid="{00000000-0005-0000-0000-000006080000}"/>
    <cellStyle name="Check Cell 2" xfId="1275" xr:uid="{00000000-0005-0000-0000-000007080000}"/>
    <cellStyle name="co" xfId="1276" xr:uid="{00000000-0005-0000-0000-000008080000}"/>
    <cellStyle name="co 2" xfId="6986" xr:uid="{00000000-0005-0000-0000-000009080000}"/>
    <cellStyle name="Code" xfId="1277" xr:uid="{00000000-0005-0000-0000-00000A080000}"/>
    <cellStyle name="Code Section" xfId="1278" xr:uid="{00000000-0005-0000-0000-00000B080000}"/>
    <cellStyle name="Codigos" xfId="1279" xr:uid="{00000000-0005-0000-0000-00000C080000}"/>
    <cellStyle name="ColHeading" xfId="1280" xr:uid="{00000000-0005-0000-0000-00000D080000}"/>
    <cellStyle name="Column_Title" xfId="1281" xr:uid="{00000000-0005-0000-0000-00000E080000}"/>
    <cellStyle name="Comma  - Style1" xfId="1282" xr:uid="{00000000-0005-0000-0000-00000F080000}"/>
    <cellStyle name="Comma  - Style2" xfId="1283" xr:uid="{00000000-0005-0000-0000-000010080000}"/>
    <cellStyle name="Comma  - Style3" xfId="1284" xr:uid="{00000000-0005-0000-0000-000011080000}"/>
    <cellStyle name="Comma  - Style4" xfId="1285" xr:uid="{00000000-0005-0000-0000-000012080000}"/>
    <cellStyle name="Comma  - Style5" xfId="1286" xr:uid="{00000000-0005-0000-0000-000013080000}"/>
    <cellStyle name="Comma  - Style6" xfId="1287" xr:uid="{00000000-0005-0000-0000-000014080000}"/>
    <cellStyle name="Comma  - Style7" xfId="1288" xr:uid="{00000000-0005-0000-0000-000015080000}"/>
    <cellStyle name="Comma  - Style8" xfId="1289" xr:uid="{00000000-0005-0000-0000-000016080000}"/>
    <cellStyle name="Comma (1)" xfId="1290" xr:uid="{00000000-0005-0000-0000-000017080000}"/>
    <cellStyle name="Comma (1) 2" xfId="6987" xr:uid="{00000000-0005-0000-0000-000018080000}"/>
    <cellStyle name="Comma [0]_ CAPEX" xfId="6988" xr:uid="{00000000-0005-0000-0000-000019080000}"/>
    <cellStyle name="Comma [00]" xfId="1291" xr:uid="{00000000-0005-0000-0000-00001A080000}"/>
    <cellStyle name="Comma [00] 2" xfId="6989" xr:uid="{00000000-0005-0000-0000-00001B080000}"/>
    <cellStyle name="Comma [1]" xfId="1292" xr:uid="{00000000-0005-0000-0000-00001C080000}"/>
    <cellStyle name="Comma [2]" xfId="1293" xr:uid="{00000000-0005-0000-0000-00001D080000}"/>
    <cellStyle name="Comma 0" xfId="1294" xr:uid="{00000000-0005-0000-0000-00001E080000}"/>
    <cellStyle name="Comma 0*" xfId="1295" xr:uid="{00000000-0005-0000-0000-00001F080000}"/>
    <cellStyle name="Comma 0.0" xfId="1296" xr:uid="{00000000-0005-0000-0000-000020080000}"/>
    <cellStyle name="Comma 0.00" xfId="1297" xr:uid="{00000000-0005-0000-0000-000021080000}"/>
    <cellStyle name="Comma 0.000" xfId="1298" xr:uid="{00000000-0005-0000-0000-000022080000}"/>
    <cellStyle name="Comma 0_10.23.03 Illustrative - Stress CDI" xfId="1299" xr:uid="{00000000-0005-0000-0000-000023080000}"/>
    <cellStyle name="Comma 1" xfId="1300" xr:uid="{00000000-0005-0000-0000-000024080000}"/>
    <cellStyle name="Comma 10" xfId="6990" xr:uid="{00000000-0005-0000-0000-000025080000}"/>
    <cellStyle name="Comma 11" xfId="6991" xr:uid="{00000000-0005-0000-0000-000026080000}"/>
    <cellStyle name="Comma 12" xfId="6992" xr:uid="{00000000-0005-0000-0000-000027080000}"/>
    <cellStyle name="Comma 13" xfId="6993" xr:uid="{00000000-0005-0000-0000-000028080000}"/>
    <cellStyle name="Comma 14" xfId="6994" xr:uid="{00000000-0005-0000-0000-000029080000}"/>
    <cellStyle name="Comma 15" xfId="6995" xr:uid="{00000000-0005-0000-0000-00002A080000}"/>
    <cellStyle name="Comma 16" xfId="6996" xr:uid="{00000000-0005-0000-0000-00002B080000}"/>
    <cellStyle name="Comma 17" xfId="6997" xr:uid="{00000000-0005-0000-0000-00002C080000}"/>
    <cellStyle name="Comma 18" xfId="6998" xr:uid="{00000000-0005-0000-0000-00002D080000}"/>
    <cellStyle name="Comma 19" xfId="6999" xr:uid="{00000000-0005-0000-0000-00002E080000}"/>
    <cellStyle name="Comma 2" xfId="1301" xr:uid="{00000000-0005-0000-0000-00002F080000}"/>
    <cellStyle name="Comma 2 2" xfId="7000" xr:uid="{00000000-0005-0000-0000-000030080000}"/>
    <cellStyle name="Comma 2 2 2" xfId="9512" xr:uid="{00000000-0005-0000-0000-000031080000}"/>
    <cellStyle name="Comma 2 3" xfId="7001" xr:uid="{00000000-0005-0000-0000-000032080000}"/>
    <cellStyle name="Comma 20" xfId="7002" xr:uid="{00000000-0005-0000-0000-000033080000}"/>
    <cellStyle name="Comma 21" xfId="7003" xr:uid="{00000000-0005-0000-0000-000034080000}"/>
    <cellStyle name="Comma 22" xfId="7004" xr:uid="{00000000-0005-0000-0000-000035080000}"/>
    <cellStyle name="Comma 23" xfId="7005" xr:uid="{00000000-0005-0000-0000-000036080000}"/>
    <cellStyle name="Comma 24" xfId="7006" xr:uid="{00000000-0005-0000-0000-000037080000}"/>
    <cellStyle name="Comma 25" xfId="7007" xr:uid="{00000000-0005-0000-0000-000038080000}"/>
    <cellStyle name="Comma 26" xfId="7008" xr:uid="{00000000-0005-0000-0000-000039080000}"/>
    <cellStyle name="Comma 27" xfId="7009" xr:uid="{00000000-0005-0000-0000-00003A080000}"/>
    <cellStyle name="Comma 28" xfId="7010" xr:uid="{00000000-0005-0000-0000-00003B080000}"/>
    <cellStyle name="Comma 29" xfId="7011" xr:uid="{00000000-0005-0000-0000-00003C080000}"/>
    <cellStyle name="Comma 3" xfId="1302" xr:uid="{00000000-0005-0000-0000-00003D080000}"/>
    <cellStyle name="Comma 3 2" xfId="7012" xr:uid="{00000000-0005-0000-0000-00003E080000}"/>
    <cellStyle name="Comma 3 2 2" xfId="9513" xr:uid="{00000000-0005-0000-0000-00003F080000}"/>
    <cellStyle name="Comma 30" xfId="7013" xr:uid="{00000000-0005-0000-0000-000040080000}"/>
    <cellStyle name="Comma 31" xfId="7014" xr:uid="{00000000-0005-0000-0000-000041080000}"/>
    <cellStyle name="Comma 32" xfId="7015" xr:uid="{00000000-0005-0000-0000-000042080000}"/>
    <cellStyle name="Comma 33" xfId="7016" xr:uid="{00000000-0005-0000-0000-000043080000}"/>
    <cellStyle name="Comma 34" xfId="7017" xr:uid="{00000000-0005-0000-0000-000044080000}"/>
    <cellStyle name="Comma 35" xfId="7018" xr:uid="{00000000-0005-0000-0000-000045080000}"/>
    <cellStyle name="Comma 36" xfId="7019" xr:uid="{00000000-0005-0000-0000-000046080000}"/>
    <cellStyle name="Comma 37" xfId="7020" xr:uid="{00000000-0005-0000-0000-000047080000}"/>
    <cellStyle name="Comma 38" xfId="7021" xr:uid="{00000000-0005-0000-0000-000048080000}"/>
    <cellStyle name="Comma 39" xfId="7022" xr:uid="{00000000-0005-0000-0000-000049080000}"/>
    <cellStyle name="Comma 4" xfId="1303" xr:uid="{00000000-0005-0000-0000-00004A080000}"/>
    <cellStyle name="Comma 4 2" xfId="7023" xr:uid="{00000000-0005-0000-0000-00004B080000}"/>
    <cellStyle name="Comma 40" xfId="7024" xr:uid="{00000000-0005-0000-0000-00004C080000}"/>
    <cellStyle name="Comma 40 2" xfId="9514" xr:uid="{00000000-0005-0000-0000-00004D080000}"/>
    <cellStyle name="Comma 41" xfId="7025" xr:uid="{00000000-0005-0000-0000-00004E080000}"/>
    <cellStyle name="Comma 42" xfId="7026" xr:uid="{00000000-0005-0000-0000-00004F080000}"/>
    <cellStyle name="Comma 5" xfId="1304" xr:uid="{00000000-0005-0000-0000-000050080000}"/>
    <cellStyle name="Comma 5 2" xfId="7027" xr:uid="{00000000-0005-0000-0000-000051080000}"/>
    <cellStyle name="Comma 6" xfId="7028" xr:uid="{00000000-0005-0000-0000-000052080000}"/>
    <cellStyle name="Comma 6 2" xfId="9515" xr:uid="{00000000-0005-0000-0000-000053080000}"/>
    <cellStyle name="Comma 7" xfId="7029" xr:uid="{00000000-0005-0000-0000-000054080000}"/>
    <cellStyle name="Comma 7 2" xfId="9516" xr:uid="{00000000-0005-0000-0000-000055080000}"/>
    <cellStyle name="Comma 8" xfId="7030" xr:uid="{00000000-0005-0000-0000-000056080000}"/>
    <cellStyle name="Comma 9" xfId="7031" xr:uid="{00000000-0005-0000-0000-000057080000}"/>
    <cellStyle name="comma[0]" xfId="1305" xr:uid="{00000000-0005-0000-0000-000058080000}"/>
    <cellStyle name="Comma_ CAPEX" xfId="7032" xr:uid="{00000000-0005-0000-0000-000059080000}"/>
    <cellStyle name="Comma0" xfId="1306" xr:uid="{00000000-0005-0000-0000-00005A080000}"/>
    <cellStyle name="Comma0 - Modelo1" xfId="1307" xr:uid="{00000000-0005-0000-0000-00005B080000}"/>
    <cellStyle name="Comma0 - Style1" xfId="1308" xr:uid="{00000000-0005-0000-0000-00005C080000}"/>
    <cellStyle name="Comma1 - Modelo2" xfId="1309" xr:uid="{00000000-0005-0000-0000-00005D080000}"/>
    <cellStyle name="Comma1 - Style2" xfId="1310" xr:uid="{00000000-0005-0000-0000-00005E080000}"/>
    <cellStyle name="comma2" xfId="1311" xr:uid="{00000000-0005-0000-0000-00005F080000}"/>
    <cellStyle name="Company" xfId="1312" xr:uid="{00000000-0005-0000-0000-000060080000}"/>
    <cellStyle name="Company Name" xfId="1313" xr:uid="{00000000-0005-0000-0000-000061080000}"/>
    <cellStyle name="CompanyName" xfId="1314" xr:uid="{00000000-0005-0000-0000-000062080000}"/>
    <cellStyle name="Copied" xfId="7033" xr:uid="{00000000-0005-0000-0000-000063080000}"/>
    <cellStyle name="COST1" xfId="7034" xr:uid="{00000000-0005-0000-0000-000064080000}"/>
    <cellStyle name="CoverPage" xfId="1315" xr:uid="{00000000-0005-0000-0000-000065080000}"/>
    <cellStyle name="CurRatio" xfId="1316" xr:uid="{00000000-0005-0000-0000-000066080000}"/>
    <cellStyle name="Currency [0.00]" xfId="1317" xr:uid="{00000000-0005-0000-0000-000067080000}"/>
    <cellStyle name="Currency [0.00] 2" xfId="7035" xr:uid="{00000000-0005-0000-0000-000068080000}"/>
    <cellStyle name="Currency [0]_ CAPEX" xfId="7036" xr:uid="{00000000-0005-0000-0000-000069080000}"/>
    <cellStyle name="Currency [00]" xfId="1318" xr:uid="{00000000-0005-0000-0000-00006A080000}"/>
    <cellStyle name="Currency [00] 2" xfId="7037" xr:uid="{00000000-0005-0000-0000-00006B080000}"/>
    <cellStyle name="Currency [1]" xfId="1319" xr:uid="{00000000-0005-0000-0000-00006C080000}"/>
    <cellStyle name="Currency [1] 2" xfId="1320" xr:uid="{00000000-0005-0000-0000-00006D080000}"/>
    <cellStyle name="Currency [2]" xfId="1321" xr:uid="{00000000-0005-0000-0000-00006E080000}"/>
    <cellStyle name="Currency 0" xfId="1322" xr:uid="{00000000-0005-0000-0000-00006F080000}"/>
    <cellStyle name="Currency 0.0" xfId="1323" xr:uid="{00000000-0005-0000-0000-000070080000}"/>
    <cellStyle name="Currency 0.00" xfId="1324" xr:uid="{00000000-0005-0000-0000-000071080000}"/>
    <cellStyle name="Currency 0.000" xfId="1325" xr:uid="{00000000-0005-0000-0000-000072080000}"/>
    <cellStyle name="Currency 0_Emprestfev09 (3)" xfId="1326" xr:uid="{00000000-0005-0000-0000-000073080000}"/>
    <cellStyle name="Currency 2" xfId="1327" xr:uid="{00000000-0005-0000-0000-000074080000}"/>
    <cellStyle name="Currency 3" xfId="7038" xr:uid="{00000000-0005-0000-0000-000075080000}"/>
    <cellStyle name="Currency 3 2" xfId="7039" xr:uid="{00000000-0005-0000-0000-000076080000}"/>
    <cellStyle name="Currency 4" xfId="7040" xr:uid="{00000000-0005-0000-0000-000077080000}"/>
    <cellStyle name="Currency 4 2" xfId="7041" xr:uid="{00000000-0005-0000-0000-000078080000}"/>
    <cellStyle name="Currency 5" xfId="7042" xr:uid="{00000000-0005-0000-0000-000079080000}"/>
    <cellStyle name="Currency 6" xfId="7043" xr:uid="{00000000-0005-0000-0000-00007A080000}"/>
    <cellStyle name="Currency_ CAPEX" xfId="7044" xr:uid="{00000000-0005-0000-0000-00007B080000}"/>
    <cellStyle name="Currency0" xfId="1328" xr:uid="{00000000-0005-0000-0000-00007C080000}"/>
    <cellStyle name="custom" xfId="7045" xr:uid="{00000000-0005-0000-0000-00007D080000}"/>
    <cellStyle name="d" xfId="1329" xr:uid="{00000000-0005-0000-0000-00007E080000}"/>
    <cellStyle name="d_Q2 pipeline" xfId="1330" xr:uid="{00000000-0005-0000-0000-00007F080000}"/>
    <cellStyle name="d_Q2 pipeline 2" xfId="7046" xr:uid="{00000000-0005-0000-0000-000080080000}"/>
    <cellStyle name="d_Q2 pipeline_Cópia de Modelo - Fluxo de Caixa Orcamento 09052009_V36_3" xfId="1331" xr:uid="{00000000-0005-0000-0000-000081080000}"/>
    <cellStyle name="d_Q2 pipeline_Cópia de Modelo - Fluxo de Caixa Orcamento 09052009_V36_3 2" xfId="7047" xr:uid="{00000000-0005-0000-0000-000082080000}"/>
    <cellStyle name="d_Q2 pipeline_Fluxo de Caixa Orcamento FINAL_13052009" xfId="1332" xr:uid="{00000000-0005-0000-0000-000083080000}"/>
    <cellStyle name="d_Q2 pipeline_Fluxo de Caixa Orcamento FINAL_13052009 2" xfId="7048" xr:uid="{00000000-0005-0000-0000-000084080000}"/>
    <cellStyle name="d_Q2 pipeline_FM_dummyV4" xfId="1333" xr:uid="{00000000-0005-0000-0000-000085080000}"/>
    <cellStyle name="d_Q2 pipeline_lalur" xfId="1334" xr:uid="{00000000-0005-0000-0000-000086080000}"/>
    <cellStyle name="d_Q2 pipeline_Leasing_V3" xfId="1335" xr:uid="{00000000-0005-0000-0000-000087080000}"/>
    <cellStyle name="d_Q2 pipeline_MODELO PDP III" xfId="1336" xr:uid="{00000000-0005-0000-0000-000088080000}"/>
    <cellStyle name="d_Q2 pipeline_ORÇ_2009" xfId="1337" xr:uid="{00000000-0005-0000-0000-000089080000}"/>
    <cellStyle name="d_Q2 pipeline_ORÇ_2009 2" xfId="7049" xr:uid="{00000000-0005-0000-0000-00008A080000}"/>
    <cellStyle name="d_Q2 pipeline_Pasta2" xfId="1338" xr:uid="{00000000-0005-0000-0000-00008B080000}"/>
    <cellStyle name="d_Q2 pipeline_Pasta2 2" xfId="7050" xr:uid="{00000000-0005-0000-0000-00008C080000}"/>
    <cellStyle name="DadosExternos" xfId="1339" xr:uid="{00000000-0005-0000-0000-00008D080000}"/>
    <cellStyle name="dah" xfId="7051" xr:uid="{00000000-0005-0000-0000-00008E080000}"/>
    <cellStyle name="dan" xfId="7052" xr:uid="{00000000-0005-0000-0000-00008F080000}"/>
    <cellStyle name="Dash" xfId="1340" xr:uid="{00000000-0005-0000-0000-000090080000}"/>
    <cellStyle name="Data" xfId="7053" xr:uid="{00000000-0005-0000-0000-000091080000}"/>
    <cellStyle name="Data-1" xfId="7054" xr:uid="{00000000-0005-0000-0000-000092080000}"/>
    <cellStyle name="Data-2" xfId="7055" xr:uid="{00000000-0005-0000-0000-000093080000}"/>
    <cellStyle name="Date" xfId="1341" xr:uid="{00000000-0005-0000-0000-000094080000}"/>
    <cellStyle name="Date [d-mmm-yy]" xfId="1342" xr:uid="{00000000-0005-0000-0000-000095080000}"/>
    <cellStyle name="Date [d-mmm-yy] 2" xfId="1343" xr:uid="{00000000-0005-0000-0000-000096080000}"/>
    <cellStyle name="Date [mm-d-yy]" xfId="1344" xr:uid="{00000000-0005-0000-0000-000097080000}"/>
    <cellStyle name="Date [mm-d-yy] 2" xfId="1345" xr:uid="{00000000-0005-0000-0000-000098080000}"/>
    <cellStyle name="Date [mm-d-yyyy]" xfId="1346" xr:uid="{00000000-0005-0000-0000-000099080000}"/>
    <cellStyle name="Date [mm-d-yyyy] 2" xfId="1347" xr:uid="{00000000-0005-0000-0000-00009A080000}"/>
    <cellStyle name="Date [mmm-d-yyyy]" xfId="1348" xr:uid="{00000000-0005-0000-0000-00009B080000}"/>
    <cellStyle name="Date [mmm-d-yyyy] 2" xfId="1349" xr:uid="{00000000-0005-0000-0000-00009C080000}"/>
    <cellStyle name="Date [mmm-yy]" xfId="1350" xr:uid="{00000000-0005-0000-0000-00009D080000}"/>
    <cellStyle name="Date [mmm-yy] 2" xfId="1351" xr:uid="{00000000-0005-0000-0000-00009E080000}"/>
    <cellStyle name="Date [mmm-yyyy]" xfId="1352" xr:uid="{00000000-0005-0000-0000-00009F080000}"/>
    <cellStyle name="Date [mmm-yyyy] 2" xfId="1353" xr:uid="{00000000-0005-0000-0000-0000A0080000}"/>
    <cellStyle name="Date [mmm-yyyy]_INFO" xfId="1354" xr:uid="{00000000-0005-0000-0000-0000A1080000}"/>
    <cellStyle name="Date 2" xfId="1355" xr:uid="{00000000-0005-0000-0000-0000A2080000}"/>
    <cellStyle name="Date Aligned" xfId="1356" xr:uid="{00000000-0005-0000-0000-0000A3080000}"/>
    <cellStyle name="Date Short" xfId="1357" xr:uid="{00000000-0005-0000-0000-0000A4080000}"/>
    <cellStyle name="Date_10.23.03 Illustrative - Stress CDI" xfId="1358" xr:uid="{00000000-0005-0000-0000-0000A5080000}"/>
    <cellStyle name="Date2" xfId="1359" xr:uid="{00000000-0005-0000-0000-0000A6080000}"/>
    <cellStyle name="Date2 2" xfId="1360" xr:uid="{00000000-0005-0000-0000-0000A7080000}"/>
    <cellStyle name="Date2_INFO" xfId="1361" xr:uid="{00000000-0005-0000-0000-0000A8080000}"/>
    <cellStyle name="decimal 0" xfId="1362" xr:uid="{00000000-0005-0000-0000-0000A9080000}"/>
    <cellStyle name="decimal 1" xfId="1363" xr:uid="{00000000-0005-0000-0000-0000AA080000}"/>
    <cellStyle name="Decimal 2" xfId="1364" xr:uid="{00000000-0005-0000-0000-0000AB080000}"/>
    <cellStyle name="Decimal 3" xfId="1365" xr:uid="{00000000-0005-0000-0000-0000AC080000}"/>
    <cellStyle name="DESCRIÇÃO" xfId="1366" xr:uid="{00000000-0005-0000-0000-0000AD080000}"/>
    <cellStyle name="DESCRIÇÃO 2" xfId="7056" xr:uid="{00000000-0005-0000-0000-0000AE080000}"/>
    <cellStyle name="Dezimal [0]_Compiling Utility Macros" xfId="1367" xr:uid="{00000000-0005-0000-0000-0000AF080000}"/>
    <cellStyle name="Dezimal_Compiling Utility Macros" xfId="1368" xr:uid="{00000000-0005-0000-0000-0000B0080000}"/>
    <cellStyle name="Dia" xfId="1369" xr:uid="{00000000-0005-0000-0000-0000B1080000}"/>
    <cellStyle name="Diseño" xfId="1370" xr:uid="{00000000-0005-0000-0000-0000B2080000}"/>
    <cellStyle name="divisao" xfId="1371" xr:uid="{00000000-0005-0000-0000-0000B3080000}"/>
    <cellStyle name="dollar" xfId="1372" xr:uid="{00000000-0005-0000-0000-0000B4080000}"/>
    <cellStyle name="dollar[0]" xfId="1373" xr:uid="{00000000-0005-0000-0000-0000B5080000}"/>
    <cellStyle name="Dollar_chrw 10-29-02" xfId="1374" xr:uid="{00000000-0005-0000-0000-0000B6080000}"/>
    <cellStyle name="dollar0" xfId="1375" xr:uid="{00000000-0005-0000-0000-0000B7080000}"/>
    <cellStyle name="dollar0 2" xfId="7057" xr:uid="{00000000-0005-0000-0000-0000B8080000}"/>
    <cellStyle name="Dollars" xfId="1376" xr:uid="{00000000-0005-0000-0000-0000B9080000}"/>
    <cellStyle name="dollars 2" xfId="1377" xr:uid="{00000000-0005-0000-0000-0000BA080000}"/>
    <cellStyle name="dollars_INFO" xfId="1378" xr:uid="{00000000-0005-0000-0000-0000BB080000}"/>
    <cellStyle name="Dotted Line" xfId="1379" xr:uid="{00000000-0005-0000-0000-0000BC080000}"/>
    <cellStyle name="DriversPercent" xfId="1380" xr:uid="{00000000-0005-0000-0000-0000BD080000}"/>
    <cellStyle name="Emphasis 1" xfId="7058" xr:uid="{00000000-0005-0000-0000-0000BE080000}"/>
    <cellStyle name="Emphasis 2" xfId="7059" xr:uid="{00000000-0005-0000-0000-0000BF080000}"/>
    <cellStyle name="Emphasis 3" xfId="7060" xr:uid="{00000000-0005-0000-0000-0000C0080000}"/>
    <cellStyle name="Encabez1" xfId="1381" xr:uid="{00000000-0005-0000-0000-0000C1080000}"/>
    <cellStyle name="Encabez2" xfId="1382" xr:uid="{00000000-0005-0000-0000-0000C2080000}"/>
    <cellStyle name="Ênfase1 2" xfId="26" xr:uid="{00000000-0005-0000-0000-0000C3080000}"/>
    <cellStyle name="Ênfase1 3" xfId="7061" xr:uid="{00000000-0005-0000-0000-0000C4080000}"/>
    <cellStyle name="Ênfase1 4" xfId="7062" xr:uid="{00000000-0005-0000-0000-0000C5080000}"/>
    <cellStyle name="Ênfase1 5" xfId="6258" xr:uid="{00000000-0005-0000-0000-0000C6080000}"/>
    <cellStyle name="Ênfase2 2" xfId="27" xr:uid="{00000000-0005-0000-0000-0000C7080000}"/>
    <cellStyle name="Ênfase2 3" xfId="7063" xr:uid="{00000000-0005-0000-0000-0000C8080000}"/>
    <cellStyle name="Ênfase2 4" xfId="7064" xr:uid="{00000000-0005-0000-0000-0000C9080000}"/>
    <cellStyle name="Ênfase2 5" xfId="6262" xr:uid="{00000000-0005-0000-0000-0000CA080000}"/>
    <cellStyle name="Ênfase3 2" xfId="28" xr:uid="{00000000-0005-0000-0000-0000CB080000}"/>
    <cellStyle name="Ênfase3 3" xfId="7065" xr:uid="{00000000-0005-0000-0000-0000CC080000}"/>
    <cellStyle name="Ênfase3 4" xfId="7066" xr:uid="{00000000-0005-0000-0000-0000CD080000}"/>
    <cellStyle name="Ênfase3 5" xfId="6266" xr:uid="{00000000-0005-0000-0000-0000CE080000}"/>
    <cellStyle name="Ênfase4 2" xfId="29" xr:uid="{00000000-0005-0000-0000-0000CF080000}"/>
    <cellStyle name="Ênfase4 3" xfId="7067" xr:uid="{00000000-0005-0000-0000-0000D0080000}"/>
    <cellStyle name="Ênfase4 4" xfId="7068" xr:uid="{00000000-0005-0000-0000-0000D1080000}"/>
    <cellStyle name="Ênfase4 5" xfId="6270" xr:uid="{00000000-0005-0000-0000-0000D2080000}"/>
    <cellStyle name="Ênfase5 2" xfId="30" xr:uid="{00000000-0005-0000-0000-0000D3080000}"/>
    <cellStyle name="Ênfase5 3" xfId="7069" xr:uid="{00000000-0005-0000-0000-0000D4080000}"/>
    <cellStyle name="Ênfase5 4" xfId="7070" xr:uid="{00000000-0005-0000-0000-0000D5080000}"/>
    <cellStyle name="Ênfase5 5" xfId="6274" xr:uid="{00000000-0005-0000-0000-0000D6080000}"/>
    <cellStyle name="Ênfase6 2" xfId="31" xr:uid="{00000000-0005-0000-0000-0000D7080000}"/>
    <cellStyle name="Ênfase6 3" xfId="7071" xr:uid="{00000000-0005-0000-0000-0000D8080000}"/>
    <cellStyle name="Ênfase6 4" xfId="7072" xr:uid="{00000000-0005-0000-0000-0000D9080000}"/>
    <cellStyle name="Ênfase6 5" xfId="6278" xr:uid="{00000000-0005-0000-0000-0000DA080000}"/>
    <cellStyle name="Enter Currency (0)" xfId="1383" xr:uid="{00000000-0005-0000-0000-0000DB080000}"/>
    <cellStyle name="Enter Currency (0) 2" xfId="7073" xr:uid="{00000000-0005-0000-0000-0000DC080000}"/>
    <cellStyle name="Enter Currency (2)" xfId="1384" xr:uid="{00000000-0005-0000-0000-0000DD080000}"/>
    <cellStyle name="Enter Currency (2) 2" xfId="7074" xr:uid="{00000000-0005-0000-0000-0000DE080000}"/>
    <cellStyle name="Enter Units (0)" xfId="1385" xr:uid="{00000000-0005-0000-0000-0000DF080000}"/>
    <cellStyle name="Enter Units (0) 2" xfId="7075" xr:uid="{00000000-0005-0000-0000-0000E0080000}"/>
    <cellStyle name="Enter Units (1)" xfId="1386" xr:uid="{00000000-0005-0000-0000-0000E1080000}"/>
    <cellStyle name="Enter Units (1) 2" xfId="7076" xr:uid="{00000000-0005-0000-0000-0000E2080000}"/>
    <cellStyle name="Enter Units (2)" xfId="1387" xr:uid="{00000000-0005-0000-0000-0000E3080000}"/>
    <cellStyle name="Enter Units (2) 2" xfId="7077" xr:uid="{00000000-0005-0000-0000-0000E4080000}"/>
    <cellStyle name="Entered" xfId="7078" xr:uid="{00000000-0005-0000-0000-0000E5080000}"/>
    <cellStyle name="Entrada 2" xfId="32" xr:uid="{00000000-0005-0000-0000-0000E6080000}"/>
    <cellStyle name="Entrada 2 2" xfId="7079" xr:uid="{00000000-0005-0000-0000-0000E7080000}"/>
    <cellStyle name="Entrada 3" xfId="6235" xr:uid="{00000000-0005-0000-0000-0000E8080000}"/>
    <cellStyle name="Entrada 3 2" xfId="7080" xr:uid="{00000000-0005-0000-0000-0000E9080000}"/>
    <cellStyle name="Entrada 4" xfId="7081" xr:uid="{00000000-0005-0000-0000-0000EA080000}"/>
    <cellStyle name="Entrada 4 2" xfId="7082" xr:uid="{00000000-0005-0000-0000-0000EB080000}"/>
    <cellStyle name="Entrada 5" xfId="6249" xr:uid="{00000000-0005-0000-0000-0000EC080000}"/>
    <cellStyle name="EPS" xfId="1388" xr:uid="{00000000-0005-0000-0000-0000ED080000}"/>
    <cellStyle name="Estilo 1" xfId="1389" xr:uid="{00000000-0005-0000-0000-0000EE080000}"/>
    <cellStyle name="Estilo 1 2" xfId="7083" xr:uid="{00000000-0005-0000-0000-0000EF080000}"/>
    <cellStyle name="Estilo 2" xfId="1390" xr:uid="{00000000-0005-0000-0000-0000F0080000}"/>
    <cellStyle name="Euro" xfId="1391" xr:uid="{00000000-0005-0000-0000-0000F1080000}"/>
    <cellStyle name="Euro 2" xfId="1392" xr:uid="{00000000-0005-0000-0000-0000F2080000}"/>
    <cellStyle name="Explanatory Text" xfId="1393" xr:uid="{00000000-0005-0000-0000-0000F3080000}"/>
    <cellStyle name="Explanatory Text 2" xfId="1394" xr:uid="{00000000-0005-0000-0000-0000F4080000}"/>
    <cellStyle name="f" xfId="1395" xr:uid="{00000000-0005-0000-0000-0000F5080000}"/>
    <cellStyle name="f 2" xfId="7084" xr:uid="{00000000-0005-0000-0000-0000F6080000}"/>
    <cellStyle name="f_Cópia de Modelo - Fluxo de Caixa Orcamento 09052009_V36_3" xfId="1396" xr:uid="{00000000-0005-0000-0000-0000F7080000}"/>
    <cellStyle name="f_Cópia de Modelo - Fluxo de Caixa Orcamento 09052009_V36_3 2" xfId="7085" xr:uid="{00000000-0005-0000-0000-0000F8080000}"/>
    <cellStyle name="f_Fluxo de Caixa Orcamento FINAL_13052009" xfId="1397" xr:uid="{00000000-0005-0000-0000-0000F9080000}"/>
    <cellStyle name="f_Fluxo de Caixa Orcamento FINAL_13052009 2" xfId="7086" xr:uid="{00000000-0005-0000-0000-0000FA080000}"/>
    <cellStyle name="f_FM_dummyV4" xfId="1398" xr:uid="{00000000-0005-0000-0000-0000FB080000}"/>
    <cellStyle name="f_lalur" xfId="1399" xr:uid="{00000000-0005-0000-0000-0000FC080000}"/>
    <cellStyle name="f_Leasing_V3" xfId="1400" xr:uid="{00000000-0005-0000-0000-0000FD080000}"/>
    <cellStyle name="f_MODELO PDP III" xfId="1401" xr:uid="{00000000-0005-0000-0000-0000FE080000}"/>
    <cellStyle name="f_MSDWmodell_July00" xfId="1402" xr:uid="{00000000-0005-0000-0000-0000FF080000}"/>
    <cellStyle name="f_MSDWmodell_July00 2" xfId="7087" xr:uid="{00000000-0005-0000-0000-000000090000}"/>
    <cellStyle name="f_MSDWmodell_July00__Posição Hedge USD OIL" xfId="7088" xr:uid="{00000000-0005-0000-0000-000001090000}"/>
    <cellStyle name="f_MSDWmodell_July00_CA" xfId="1403" xr:uid="{00000000-0005-0000-0000-000002090000}"/>
    <cellStyle name="f_MSDWmodell_July00_CA 2" xfId="7089" xr:uid="{00000000-0005-0000-0000-000003090000}"/>
    <cellStyle name="f_MSDWmodell_July00_CA10" xfId="7090" xr:uid="{00000000-0005-0000-0000-000004090000}"/>
    <cellStyle name="f_MSDWmodell_July00_CA10 2" xfId="7091" xr:uid="{00000000-0005-0000-0000-000005090000}"/>
    <cellStyle name="f_MSDWmodell_July00_Chart of Accounts 2009" xfId="1404" xr:uid="{00000000-0005-0000-0000-000006090000}"/>
    <cellStyle name="f_MSDWmodell_July00_Chart of Accounts 2009 2" xfId="7092" xr:uid="{00000000-0005-0000-0000-000007090000}"/>
    <cellStyle name="f_MSDWmodell_July00_Chart of Accounts 2009_mask" xfId="1405" xr:uid="{00000000-0005-0000-0000-000008090000}"/>
    <cellStyle name="f_MSDWmodell_July00_Chart of Accounts 2009_old" xfId="1406" xr:uid="{00000000-0005-0000-0000-000009090000}"/>
    <cellStyle name="f_MSDWmodell_July00_Chart of Accounts 2009_old 2" xfId="7093" xr:uid="{00000000-0005-0000-0000-00000A090000}"/>
    <cellStyle name="f_MSDWmodell_July00_Comparativo VP FIN v1_So 2008" xfId="7094" xr:uid="{00000000-0005-0000-0000-00000B090000}"/>
    <cellStyle name="f_MSDWmodell_July00_Comparativo VP MKT 2008 v1_So 2008" xfId="7095" xr:uid="{00000000-0005-0000-0000-00000C090000}"/>
    <cellStyle name="f_MSDWmodell_July00_Comparativo VP TEC 2008 v1_So 2008" xfId="7096" xr:uid="{00000000-0005-0000-0000-00000D090000}"/>
    <cellStyle name="f_MSDWmodell_July00_Comparativo VP TEC 2008_Luiz Sergio" xfId="7097" xr:uid="{00000000-0005-0000-0000-00000E090000}"/>
    <cellStyle name="f_MSDWmodell_July00_Cópia de Modelo - Fluxo de Caixa Orcamento 09052009_V36_3" xfId="1407" xr:uid="{00000000-0005-0000-0000-00000F090000}"/>
    <cellStyle name="f_MSDWmodell_July00_Cópia de Modelo - Fluxo de Caixa Orcamento 09052009_V36_3 2" xfId="7098" xr:uid="{00000000-0005-0000-0000-000010090000}"/>
    <cellStyle name="f_MSDWmodell_July00_Fluxo de Caixa Orcamento FINAL_13052009" xfId="1408" xr:uid="{00000000-0005-0000-0000-000011090000}"/>
    <cellStyle name="f_MSDWmodell_July00_Fluxo de Caixa Orcamento FINAL_13052009 2" xfId="7099" xr:uid="{00000000-0005-0000-0000-000012090000}"/>
    <cellStyle name="f_MSDWmodell_July00_FM_dummyV4" xfId="1409" xr:uid="{00000000-0005-0000-0000-000013090000}"/>
    <cellStyle name="f_MSDWmodell_July00_Hedge Positions" xfId="7100" xr:uid="{00000000-0005-0000-0000-000014090000}"/>
    <cellStyle name="f_MSDWmodell_July00_Indicadores de Custo_17.Out" xfId="7101" xr:uid="{00000000-0005-0000-0000-000015090000}"/>
    <cellStyle name="f_MSDWmodell_July00_lalur" xfId="1410" xr:uid="{00000000-0005-0000-0000-000016090000}"/>
    <cellStyle name="f_MSDWmodell_July00_Leasing_V2" xfId="1411" xr:uid="{00000000-0005-0000-0000-000017090000}"/>
    <cellStyle name="f_MSDWmodell_July00_Leasing_V3" xfId="1412" xr:uid="{00000000-0005-0000-0000-000018090000}"/>
    <cellStyle name="f_MSDWmodell_July00_MODELO PDP" xfId="1413" xr:uid="{00000000-0005-0000-0000-000019090000}"/>
    <cellStyle name="f_MSDWmodell_July00_MODELO PDP III" xfId="1414" xr:uid="{00000000-0005-0000-0000-00001A090000}"/>
    <cellStyle name="f_MSDWmodell_July00_New Management" xfId="1415" xr:uid="{00000000-0005-0000-0000-00001B090000}"/>
    <cellStyle name="f_MSDWmodell_July00_ORÇ_2009" xfId="1416" xr:uid="{00000000-0005-0000-0000-00001C090000}"/>
    <cellStyle name="f_MSDWmodell_July00_ORÇ_2009 2" xfId="7102" xr:uid="{00000000-0005-0000-0000-00001D090000}"/>
    <cellStyle name="f_MSDWmodell_July00_Pasta2" xfId="1417" xr:uid="{00000000-0005-0000-0000-00001E090000}"/>
    <cellStyle name="f_MSDWmodell_July00_Pasta2 2" xfId="7103" xr:uid="{00000000-0005-0000-0000-00001F090000}"/>
    <cellStyle name="f_ORÇ_2009" xfId="1418" xr:uid="{00000000-0005-0000-0000-000020090000}"/>
    <cellStyle name="f_ORÇ_2009 2" xfId="7104" xr:uid="{00000000-0005-0000-0000-000021090000}"/>
    <cellStyle name="f_Pasta2" xfId="1419" xr:uid="{00000000-0005-0000-0000-000022090000}"/>
    <cellStyle name="f_Pasta2 2" xfId="7105" xr:uid="{00000000-0005-0000-0000-000023090000}"/>
    <cellStyle name="f_Q2 pipeline" xfId="1420" xr:uid="{00000000-0005-0000-0000-000024090000}"/>
    <cellStyle name="f_Q2 pipeline 2" xfId="7106" xr:uid="{00000000-0005-0000-0000-000025090000}"/>
    <cellStyle name="f_Q2 pipeline__Posição Hedge USD OIL" xfId="7107" xr:uid="{00000000-0005-0000-0000-000026090000}"/>
    <cellStyle name="f_Q2 pipeline_CA" xfId="1421" xr:uid="{00000000-0005-0000-0000-000027090000}"/>
    <cellStyle name="f_Q2 pipeline_CA 2" xfId="7108" xr:uid="{00000000-0005-0000-0000-000028090000}"/>
    <cellStyle name="f_Q2 pipeline_CA10" xfId="7109" xr:uid="{00000000-0005-0000-0000-000029090000}"/>
    <cellStyle name="f_Q2 pipeline_CA10 2" xfId="7110" xr:uid="{00000000-0005-0000-0000-00002A090000}"/>
    <cellStyle name="f_Q2 pipeline_Chart of Accounts 2009" xfId="1422" xr:uid="{00000000-0005-0000-0000-00002B090000}"/>
    <cellStyle name="f_Q2 pipeline_Chart of Accounts 2009 2" xfId="7111" xr:uid="{00000000-0005-0000-0000-00002C090000}"/>
    <cellStyle name="f_Q2 pipeline_Chart of Accounts 2009_mask" xfId="1423" xr:uid="{00000000-0005-0000-0000-00002D090000}"/>
    <cellStyle name="f_Q2 pipeline_Chart of Accounts 2009_old" xfId="1424" xr:uid="{00000000-0005-0000-0000-00002E090000}"/>
    <cellStyle name="f_Q2 pipeline_Chart of Accounts 2009_old 2" xfId="7112" xr:uid="{00000000-0005-0000-0000-00002F090000}"/>
    <cellStyle name="f_Q2 pipeline_Comparativo VP FIN v1_So 2008" xfId="7113" xr:uid="{00000000-0005-0000-0000-000030090000}"/>
    <cellStyle name="f_Q2 pipeline_Comparativo VP MKT 2008 v1_So 2008" xfId="7114" xr:uid="{00000000-0005-0000-0000-000031090000}"/>
    <cellStyle name="f_Q2 pipeline_Comparativo VP TEC 2008 v1_So 2008" xfId="7115" xr:uid="{00000000-0005-0000-0000-000032090000}"/>
    <cellStyle name="f_Q2 pipeline_Comparativo VP TEC 2008_Luiz Sergio" xfId="7116" xr:uid="{00000000-0005-0000-0000-000033090000}"/>
    <cellStyle name="f_Q2 pipeline_Cópia de Modelo - Fluxo de Caixa Orcamento 09052009_V36_3" xfId="1425" xr:uid="{00000000-0005-0000-0000-000034090000}"/>
    <cellStyle name="f_Q2 pipeline_Cópia de Modelo - Fluxo de Caixa Orcamento 09052009_V36_3 2" xfId="7117" xr:uid="{00000000-0005-0000-0000-000035090000}"/>
    <cellStyle name="f_Q2 pipeline_Fluxo de Caixa Orcamento FINAL_13052009" xfId="1426" xr:uid="{00000000-0005-0000-0000-000036090000}"/>
    <cellStyle name="f_Q2 pipeline_Fluxo de Caixa Orcamento FINAL_13052009 2" xfId="7118" xr:uid="{00000000-0005-0000-0000-000037090000}"/>
    <cellStyle name="f_Q2 pipeline_FM_dummyV4" xfId="1427" xr:uid="{00000000-0005-0000-0000-000038090000}"/>
    <cellStyle name="f_Q2 pipeline_Hedge Positions" xfId="7119" xr:uid="{00000000-0005-0000-0000-000039090000}"/>
    <cellStyle name="f_Q2 pipeline_Indicadores de Custo_17.Out" xfId="7120" xr:uid="{00000000-0005-0000-0000-00003A090000}"/>
    <cellStyle name="f_Q2 pipeline_lalur" xfId="1428" xr:uid="{00000000-0005-0000-0000-00003B090000}"/>
    <cellStyle name="f_Q2 pipeline_Leasing_V2" xfId="1429" xr:uid="{00000000-0005-0000-0000-00003C090000}"/>
    <cellStyle name="f_Q2 pipeline_Leasing_V3" xfId="1430" xr:uid="{00000000-0005-0000-0000-00003D090000}"/>
    <cellStyle name="f_Q2 pipeline_MODELO PDP" xfId="1431" xr:uid="{00000000-0005-0000-0000-00003E090000}"/>
    <cellStyle name="f_Q2 pipeline_MODELO PDP III" xfId="1432" xr:uid="{00000000-0005-0000-0000-00003F090000}"/>
    <cellStyle name="f_Q2 pipeline_New Management" xfId="1433" xr:uid="{00000000-0005-0000-0000-000040090000}"/>
    <cellStyle name="f_Q2 pipeline_ORÇ_2009" xfId="1434" xr:uid="{00000000-0005-0000-0000-000041090000}"/>
    <cellStyle name="f_Q2 pipeline_ORÇ_2009 2" xfId="7121" xr:uid="{00000000-0005-0000-0000-000042090000}"/>
    <cellStyle name="f_Q2 pipeline_Pasta2" xfId="1435" xr:uid="{00000000-0005-0000-0000-000043090000}"/>
    <cellStyle name="f_Q2 pipeline_Pasta2 2" xfId="7122" xr:uid="{00000000-0005-0000-0000-000044090000}"/>
    <cellStyle name="F2" xfId="1436" xr:uid="{00000000-0005-0000-0000-000045090000}"/>
    <cellStyle name="F3" xfId="1437" xr:uid="{00000000-0005-0000-0000-000046090000}"/>
    <cellStyle name="F4" xfId="1438" xr:uid="{00000000-0005-0000-0000-000047090000}"/>
    <cellStyle name="F5" xfId="1439" xr:uid="{00000000-0005-0000-0000-000048090000}"/>
    <cellStyle name="F6" xfId="1440" xr:uid="{00000000-0005-0000-0000-000049090000}"/>
    <cellStyle name="F7" xfId="1441" xr:uid="{00000000-0005-0000-0000-00004A090000}"/>
    <cellStyle name="F8" xfId="1442" xr:uid="{00000000-0005-0000-0000-00004B090000}"/>
    <cellStyle name="F8 - Estilo5" xfId="1443" xr:uid="{00000000-0005-0000-0000-00004C090000}"/>
    <cellStyle name="Ficha" xfId="1444" xr:uid="{00000000-0005-0000-0000-00004D090000}"/>
    <cellStyle name="Fijo" xfId="1445" xr:uid="{00000000-0005-0000-0000-00004E090000}"/>
    <cellStyle name="finals" xfId="1446" xr:uid="{00000000-0005-0000-0000-00004F090000}"/>
    <cellStyle name="Financiero" xfId="1447" xr:uid="{00000000-0005-0000-0000-000050090000}"/>
    <cellStyle name="Fixed" xfId="1448" xr:uid="{00000000-0005-0000-0000-000051090000}"/>
    <cellStyle name="Fixed [0]" xfId="1449" xr:uid="{00000000-0005-0000-0000-000052090000}"/>
    <cellStyle name="Fixed [0] 2" xfId="1450" xr:uid="{00000000-0005-0000-0000-000053090000}"/>
    <cellStyle name="Followed Hyperlink_Model_Real Case4" xfId="1451" xr:uid="{00000000-0005-0000-0000-000054090000}"/>
    <cellStyle name="FOOTER - Style1" xfId="1452" xr:uid="{00000000-0005-0000-0000-000055090000}"/>
    <cellStyle name="FOOTER - Style1 2" xfId="7123" xr:uid="{00000000-0005-0000-0000-000056090000}"/>
    <cellStyle name="Footnote" xfId="1453" xr:uid="{00000000-0005-0000-0000-000057090000}"/>
    <cellStyle name="Footnote8ital" xfId="1454" xr:uid="{00000000-0005-0000-0000-000058090000}"/>
    <cellStyle name="Footnote8ital 2" xfId="7124" xr:uid="{00000000-0005-0000-0000-000059090000}"/>
    <cellStyle name="FORMULAS" xfId="1455" xr:uid="{00000000-0005-0000-0000-00005A090000}"/>
    <cellStyle name="fundoentrada" xfId="1456" xr:uid="{00000000-0005-0000-0000-00005B090000}"/>
    <cellStyle name="fundoentrada 2" xfId="1457" xr:uid="{00000000-0005-0000-0000-00005C090000}"/>
    <cellStyle name="General" xfId="1458" xr:uid="{00000000-0005-0000-0000-00005D090000}"/>
    <cellStyle name="General 2" xfId="7125" xr:uid="{00000000-0005-0000-0000-00005E090000}"/>
    <cellStyle name="Geral" xfId="1459" xr:uid="{00000000-0005-0000-0000-00005F090000}"/>
    <cellStyle name="Good" xfId="1460" xr:uid="{00000000-0005-0000-0000-000060090000}"/>
    <cellStyle name="Good 2" xfId="1461" xr:uid="{00000000-0005-0000-0000-000061090000}"/>
    <cellStyle name="Grey" xfId="1462" xr:uid="{00000000-0005-0000-0000-000062090000}"/>
    <cellStyle name="Grey 2" xfId="1463" xr:uid="{00000000-0005-0000-0000-000063090000}"/>
    <cellStyle name="Grey_INFO" xfId="1464" xr:uid="{00000000-0005-0000-0000-000064090000}"/>
    <cellStyle name="Grupo" xfId="1465" xr:uid="{00000000-0005-0000-0000-000065090000}"/>
    <cellStyle name="gs]_x000d__x000a_Window=-3,49,640,407, , ,3_x000d__x000a_dir1=0,0,640,209,-1,-1,1,30,201,1808,254,C:\MSOFFICE\EXCEL\1997RATE\*.*_x000d__x000a_dir9" xfId="1466" xr:uid="{00000000-0005-0000-0000-000066090000}"/>
    <cellStyle name="gs]_x000d__x000a_Window=-3,49,640,407, , ,3_x000d__x000a_dir1=0,0,640,209,-1,-1,1,30,201,1808,254,C:\MSOFFICE\EXCEL\1997RATE\*.*_x000d__x000a_dir9 2" xfId="7126" xr:uid="{00000000-0005-0000-0000-000067090000}"/>
    <cellStyle name="h" xfId="1467" xr:uid="{00000000-0005-0000-0000-000068090000}"/>
    <cellStyle name="h_Comparativo VP FIN v1_So 2008" xfId="7127" xr:uid="{00000000-0005-0000-0000-000069090000}"/>
    <cellStyle name="h_Comparativo VP MKT 2008 v1_So 2008" xfId="7128" xr:uid="{00000000-0005-0000-0000-00006A090000}"/>
    <cellStyle name="h_Comparativo VP TEC 2008 v1_So 2008" xfId="7129" xr:uid="{00000000-0005-0000-0000-00006B090000}"/>
    <cellStyle name="h_Comparativo VP TEC 2008_Luiz Sergio" xfId="7130" xr:uid="{00000000-0005-0000-0000-00006C090000}"/>
    <cellStyle name="h_Cópia de Modelo - Fluxo de Caixa Orcamento 09052009_V36_3" xfId="1468" xr:uid="{00000000-0005-0000-0000-00006D090000}"/>
    <cellStyle name="h_Fluxo de Caixa Orcamento FINAL_13052009" xfId="1469" xr:uid="{00000000-0005-0000-0000-00006E090000}"/>
    <cellStyle name="h_FM_dummyV4" xfId="1470" xr:uid="{00000000-0005-0000-0000-00006F090000}"/>
    <cellStyle name="h_lalur" xfId="1471" xr:uid="{00000000-0005-0000-0000-000070090000}"/>
    <cellStyle name="h_Leasing_V3" xfId="1472" xr:uid="{00000000-0005-0000-0000-000071090000}"/>
    <cellStyle name="h_lux_compsXM" xfId="1473" xr:uid="{00000000-0005-0000-0000-000072090000}"/>
    <cellStyle name="h_marlswat" xfId="1474" xr:uid="{00000000-0005-0000-0000-000073090000}"/>
    <cellStyle name="h_MODELO PDP III" xfId="1475" xr:uid="{00000000-0005-0000-0000-000074090000}"/>
    <cellStyle name="h_NewOrl_cons" xfId="1476" xr:uid="{00000000-0005-0000-0000-000075090000}"/>
    <cellStyle name="h_NewOrl_cons_Q2 pipeline" xfId="1477" xr:uid="{00000000-0005-0000-0000-000076090000}"/>
    <cellStyle name="h_NewOrl_cons_Q2 pipeline 2" xfId="7131" xr:uid="{00000000-0005-0000-0000-000077090000}"/>
    <cellStyle name="h_NewOrl_cons_Q2 pipeline_Cópia de Modelo - Fluxo de Caixa Orcamento 09052009_V36_3" xfId="1478" xr:uid="{00000000-0005-0000-0000-000078090000}"/>
    <cellStyle name="h_NewOrl_cons_Q2 pipeline_Cópia de Modelo - Fluxo de Caixa Orcamento 09052009_V36_3 2" xfId="7132" xr:uid="{00000000-0005-0000-0000-000079090000}"/>
    <cellStyle name="h_NewOrl_cons_Q2 pipeline_Fluxo de Caixa Orcamento FINAL_13052009" xfId="1479" xr:uid="{00000000-0005-0000-0000-00007A090000}"/>
    <cellStyle name="h_NewOrl_cons_Q2 pipeline_Fluxo de Caixa Orcamento FINAL_13052009 2" xfId="7133" xr:uid="{00000000-0005-0000-0000-00007B090000}"/>
    <cellStyle name="h_NewOrl_cons_Q2 pipeline_FM_dummyV4" xfId="1480" xr:uid="{00000000-0005-0000-0000-00007C090000}"/>
    <cellStyle name="h_NewOrl_cons_Q2 pipeline_lalur" xfId="1481" xr:uid="{00000000-0005-0000-0000-00007D090000}"/>
    <cellStyle name="h_NewOrl_cons_Q2 pipeline_Leasing_V3" xfId="1482" xr:uid="{00000000-0005-0000-0000-00007E090000}"/>
    <cellStyle name="h_NewOrl_cons_Q2 pipeline_MODELO PDP III" xfId="1483" xr:uid="{00000000-0005-0000-0000-00007F090000}"/>
    <cellStyle name="h_NewOrl_cons_Q2 pipeline_ORÇ_2009" xfId="1484" xr:uid="{00000000-0005-0000-0000-000080090000}"/>
    <cellStyle name="h_NewOrl_cons_Q2 pipeline_ORÇ_2009 2" xfId="7134" xr:uid="{00000000-0005-0000-0000-000081090000}"/>
    <cellStyle name="h_NewOrl_cons_Q2 pipeline_Pasta2" xfId="1485" xr:uid="{00000000-0005-0000-0000-000082090000}"/>
    <cellStyle name="h_NewOrl_cons_Q2 pipeline_Pasta2 2" xfId="7135" xr:uid="{00000000-0005-0000-0000-000083090000}"/>
    <cellStyle name="h_ORÇ_2009" xfId="1486" xr:uid="{00000000-0005-0000-0000-000084090000}"/>
    <cellStyle name="h_Pasta2" xfId="1487" xr:uid="{00000000-0005-0000-0000-000085090000}"/>
    <cellStyle name="h_pearl_wacc" xfId="1488" xr:uid="{00000000-0005-0000-0000-000086090000}"/>
    <cellStyle name="h_pearl_wacc_Comparativo VP FIN v1_So 2008" xfId="7136" xr:uid="{00000000-0005-0000-0000-000087090000}"/>
    <cellStyle name="h_pearl_wacc_Comparativo VP MKT 2008 v1_So 2008" xfId="7137" xr:uid="{00000000-0005-0000-0000-000088090000}"/>
    <cellStyle name="h_pearl_wacc_Comparativo VP TEC 2008 v1_So 2008" xfId="7138" xr:uid="{00000000-0005-0000-0000-000089090000}"/>
    <cellStyle name="h_pearl_wacc_Comparativo VP TEC 2008_Luiz Sergio" xfId="7139" xr:uid="{00000000-0005-0000-0000-00008A090000}"/>
    <cellStyle name="h_pearl_wacc_Cópia de Modelo - Fluxo de Caixa Orcamento 09052009_V36_3" xfId="1489" xr:uid="{00000000-0005-0000-0000-00008B090000}"/>
    <cellStyle name="h_pearl_wacc_Fluxo de Caixa Orcamento FINAL_13052009" xfId="1490" xr:uid="{00000000-0005-0000-0000-00008C090000}"/>
    <cellStyle name="h_pearl_wacc_FM_dummyV4" xfId="1491" xr:uid="{00000000-0005-0000-0000-00008D090000}"/>
    <cellStyle name="h_pearl_wacc_lalur" xfId="1492" xr:uid="{00000000-0005-0000-0000-00008E090000}"/>
    <cellStyle name="h_pearl_wacc_Leasing_V3" xfId="1493" xr:uid="{00000000-0005-0000-0000-00008F090000}"/>
    <cellStyle name="h_pearl_wacc_MODELO PDP III" xfId="1494" xr:uid="{00000000-0005-0000-0000-000090090000}"/>
    <cellStyle name="h_pearl_wacc_ORÇ_2009" xfId="1495" xr:uid="{00000000-0005-0000-0000-000091090000}"/>
    <cellStyle name="h_pearl_wacc_Pasta2" xfId="1496" xr:uid="{00000000-0005-0000-0000-000092090000}"/>
    <cellStyle name="h_pearl_wacc_Q2 pipeline" xfId="1497" xr:uid="{00000000-0005-0000-0000-000093090000}"/>
    <cellStyle name="h_pearl_wacc_Q2 pipeline 2" xfId="7140" xr:uid="{00000000-0005-0000-0000-000094090000}"/>
    <cellStyle name="h_pearl_wacc_Q2 pipeline_Cópia de Modelo - Fluxo de Caixa Orcamento 09052009_V36_3" xfId="1498" xr:uid="{00000000-0005-0000-0000-000095090000}"/>
    <cellStyle name="h_pearl_wacc_Q2 pipeline_Cópia de Modelo - Fluxo de Caixa Orcamento 09052009_V36_3 2" xfId="7141" xr:uid="{00000000-0005-0000-0000-000096090000}"/>
    <cellStyle name="h_pearl_wacc_Q2 pipeline_Fluxo de Caixa Orcamento FINAL_13052009" xfId="1499" xr:uid="{00000000-0005-0000-0000-000097090000}"/>
    <cellStyle name="h_pearl_wacc_Q2 pipeline_Fluxo de Caixa Orcamento FINAL_13052009 2" xfId="7142" xr:uid="{00000000-0005-0000-0000-000098090000}"/>
    <cellStyle name="h_pearl_wacc_Q2 pipeline_FM_dummyV4" xfId="1500" xr:uid="{00000000-0005-0000-0000-000099090000}"/>
    <cellStyle name="h_pearl_wacc_Q2 pipeline_lalur" xfId="1501" xr:uid="{00000000-0005-0000-0000-00009A090000}"/>
    <cellStyle name="h_pearl_wacc_Q2 pipeline_Leasing_V3" xfId="1502" xr:uid="{00000000-0005-0000-0000-00009B090000}"/>
    <cellStyle name="h_pearl_wacc_Q2 pipeline_MODELO PDP III" xfId="1503" xr:uid="{00000000-0005-0000-0000-00009C090000}"/>
    <cellStyle name="h_pearl_wacc_Q2 pipeline_ORÇ_2009" xfId="1504" xr:uid="{00000000-0005-0000-0000-00009D090000}"/>
    <cellStyle name="h_pearl_wacc_Q2 pipeline_ORÇ_2009 2" xfId="7143" xr:uid="{00000000-0005-0000-0000-00009E090000}"/>
    <cellStyle name="h_pearl_wacc_Q2 pipeline_Pasta2" xfId="1505" xr:uid="{00000000-0005-0000-0000-00009F090000}"/>
    <cellStyle name="h_pearl_wacc_Q2 pipeline_Pasta2 2" xfId="7144" xr:uid="{00000000-0005-0000-0000-0000A0090000}"/>
    <cellStyle name="h_Q2 pipeline" xfId="1506" xr:uid="{00000000-0005-0000-0000-0000A1090000}"/>
    <cellStyle name="h_Q2 pipeline 2" xfId="7145" xr:uid="{00000000-0005-0000-0000-0000A2090000}"/>
    <cellStyle name="h_Q2 pipeline_Cópia de Modelo - Fluxo de Caixa Orcamento 09052009_V36_3" xfId="1507" xr:uid="{00000000-0005-0000-0000-0000A3090000}"/>
    <cellStyle name="h_Q2 pipeline_Cópia de Modelo - Fluxo de Caixa Orcamento 09052009_V36_3 2" xfId="7146" xr:uid="{00000000-0005-0000-0000-0000A4090000}"/>
    <cellStyle name="h_Q2 pipeline_Fluxo de Caixa Orcamento FINAL_13052009" xfId="1508" xr:uid="{00000000-0005-0000-0000-0000A5090000}"/>
    <cellStyle name="h_Q2 pipeline_Fluxo de Caixa Orcamento FINAL_13052009 2" xfId="7147" xr:uid="{00000000-0005-0000-0000-0000A6090000}"/>
    <cellStyle name="h_Q2 pipeline_FM_dummyV4" xfId="1509" xr:uid="{00000000-0005-0000-0000-0000A7090000}"/>
    <cellStyle name="h_Q2 pipeline_lalur" xfId="1510" xr:uid="{00000000-0005-0000-0000-0000A8090000}"/>
    <cellStyle name="h_Q2 pipeline_Leasing_V3" xfId="1511" xr:uid="{00000000-0005-0000-0000-0000A9090000}"/>
    <cellStyle name="h_Q2 pipeline_MODELO PDP III" xfId="1512" xr:uid="{00000000-0005-0000-0000-0000AA090000}"/>
    <cellStyle name="h_Q2 pipeline_ORÇ_2009" xfId="1513" xr:uid="{00000000-0005-0000-0000-0000AB090000}"/>
    <cellStyle name="h_Q2 pipeline_ORÇ_2009 2" xfId="7148" xr:uid="{00000000-0005-0000-0000-0000AC090000}"/>
    <cellStyle name="h_Q2 pipeline_Pasta2" xfId="1514" xr:uid="{00000000-0005-0000-0000-0000AD090000}"/>
    <cellStyle name="h_Q2 pipeline_Pasta2 2" xfId="7149" xr:uid="{00000000-0005-0000-0000-0000AE090000}"/>
    <cellStyle name="h_vmatrix bb" xfId="1515" xr:uid="{00000000-0005-0000-0000-0000AF090000}"/>
    <cellStyle name="h_vmatrix bb_Q2 pipeline" xfId="1516" xr:uid="{00000000-0005-0000-0000-0000B0090000}"/>
    <cellStyle name="h_vmatrix bb_Q2 pipeline 2" xfId="7150" xr:uid="{00000000-0005-0000-0000-0000B1090000}"/>
    <cellStyle name="h_vmatrix bb_Q2 pipeline_Cópia de Modelo - Fluxo de Caixa Orcamento 09052009_V36_3" xfId="1517" xr:uid="{00000000-0005-0000-0000-0000B2090000}"/>
    <cellStyle name="h_vmatrix bb_Q2 pipeline_Cópia de Modelo - Fluxo de Caixa Orcamento 09052009_V36_3 2" xfId="7151" xr:uid="{00000000-0005-0000-0000-0000B3090000}"/>
    <cellStyle name="h_vmatrix bb_Q2 pipeline_Fluxo de Caixa Orcamento FINAL_13052009" xfId="1518" xr:uid="{00000000-0005-0000-0000-0000B4090000}"/>
    <cellStyle name="h_vmatrix bb_Q2 pipeline_Fluxo de Caixa Orcamento FINAL_13052009 2" xfId="7152" xr:uid="{00000000-0005-0000-0000-0000B5090000}"/>
    <cellStyle name="h_vmatrix bb_Q2 pipeline_FM_dummyV4" xfId="1519" xr:uid="{00000000-0005-0000-0000-0000B6090000}"/>
    <cellStyle name="h_vmatrix bb_Q2 pipeline_lalur" xfId="1520" xr:uid="{00000000-0005-0000-0000-0000B7090000}"/>
    <cellStyle name="h_vmatrix bb_Q2 pipeline_Leasing_V3" xfId="1521" xr:uid="{00000000-0005-0000-0000-0000B8090000}"/>
    <cellStyle name="h_vmatrix bb_Q2 pipeline_MODELO PDP III" xfId="1522" xr:uid="{00000000-0005-0000-0000-0000B9090000}"/>
    <cellStyle name="h_vmatrix bb_Q2 pipeline_ORÇ_2009" xfId="1523" xr:uid="{00000000-0005-0000-0000-0000BA090000}"/>
    <cellStyle name="h_vmatrix bb_Q2 pipeline_ORÇ_2009 2" xfId="7153" xr:uid="{00000000-0005-0000-0000-0000BB090000}"/>
    <cellStyle name="h_vmatrix bb_Q2 pipeline_Pasta2" xfId="1524" xr:uid="{00000000-0005-0000-0000-0000BC090000}"/>
    <cellStyle name="h_vmatrix bb_Q2 pipeline_Pasta2 2" xfId="7154" xr:uid="{00000000-0005-0000-0000-0000BD090000}"/>
    <cellStyle name="h1" xfId="1525" xr:uid="{00000000-0005-0000-0000-0000BE090000}"/>
    <cellStyle name="h2" xfId="1526" xr:uid="{00000000-0005-0000-0000-0000BF090000}"/>
    <cellStyle name="Hard Percent" xfId="1527" xr:uid="{00000000-0005-0000-0000-0000C0090000}"/>
    <cellStyle name="hat" xfId="1528" xr:uid="{00000000-0005-0000-0000-0000C1090000}"/>
    <cellStyle name="Head Tittle" xfId="1529" xr:uid="{00000000-0005-0000-0000-0000C2090000}"/>
    <cellStyle name="Header" xfId="1530" xr:uid="{00000000-0005-0000-0000-0000C3090000}"/>
    <cellStyle name="Header1" xfId="1531" xr:uid="{00000000-0005-0000-0000-0000C4090000}"/>
    <cellStyle name="Header2" xfId="1532" xr:uid="{00000000-0005-0000-0000-0000C5090000}"/>
    <cellStyle name="Header2 2" xfId="7155" xr:uid="{00000000-0005-0000-0000-0000C6090000}"/>
    <cellStyle name="Heading" xfId="1533" xr:uid="{00000000-0005-0000-0000-0000C7090000}"/>
    <cellStyle name="Heading 1" xfId="1534" xr:uid="{00000000-0005-0000-0000-0000C8090000}"/>
    <cellStyle name="Heading 1 2" xfId="1535" xr:uid="{00000000-0005-0000-0000-0000C9090000}"/>
    <cellStyle name="Heading 2" xfId="1536" xr:uid="{00000000-0005-0000-0000-0000CA090000}"/>
    <cellStyle name="Heading 2 2" xfId="1537" xr:uid="{00000000-0005-0000-0000-0000CB090000}"/>
    <cellStyle name="Heading 3" xfId="1538" xr:uid="{00000000-0005-0000-0000-0000CC090000}"/>
    <cellStyle name="Heading 3 2" xfId="1539" xr:uid="{00000000-0005-0000-0000-0000CD090000}"/>
    <cellStyle name="Heading 4" xfId="1540" xr:uid="{00000000-0005-0000-0000-0000CE090000}"/>
    <cellStyle name="Heading 4 2" xfId="1541" xr:uid="{00000000-0005-0000-0000-0000CF090000}"/>
    <cellStyle name="Heading No Underline" xfId="1542" xr:uid="{00000000-0005-0000-0000-0000D0090000}"/>
    <cellStyle name="Heading With Underline" xfId="1543" xr:uid="{00000000-0005-0000-0000-0000D1090000}"/>
    <cellStyle name="Heading_Book6" xfId="1544" xr:uid="{00000000-0005-0000-0000-0000D2090000}"/>
    <cellStyle name="Heading1" xfId="1545" xr:uid="{00000000-0005-0000-0000-0000D3090000}"/>
    <cellStyle name="Heading11Bold" xfId="1546" xr:uid="{00000000-0005-0000-0000-0000D4090000}"/>
    <cellStyle name="Heading11Bold 2" xfId="7156" xr:uid="{00000000-0005-0000-0000-0000D5090000}"/>
    <cellStyle name="Heading12Bold" xfId="1547" xr:uid="{00000000-0005-0000-0000-0000D6090000}"/>
    <cellStyle name="Heading12Bold 2" xfId="7157" xr:uid="{00000000-0005-0000-0000-0000D7090000}"/>
    <cellStyle name="Heading2" xfId="1548" xr:uid="{00000000-0005-0000-0000-0000D8090000}"/>
    <cellStyle name="Helv 10 Bold" xfId="1549" xr:uid="{00000000-0005-0000-0000-0000D9090000}"/>
    <cellStyle name="Helv 12 Bold" xfId="1550" xr:uid="{00000000-0005-0000-0000-0000DA090000}"/>
    <cellStyle name="Hidden" xfId="1551" xr:uid="{00000000-0005-0000-0000-0000DB090000}"/>
    <cellStyle name="Hiperlink 2" xfId="1552" xr:uid="{00000000-0005-0000-0000-0000DC090000}"/>
    <cellStyle name="Hiperlink 3" xfId="1553" xr:uid="{00000000-0005-0000-0000-0000DD090000}"/>
    <cellStyle name="Hiperlink Visitado 2" xfId="1554" xr:uid="{00000000-0005-0000-0000-0000DE090000}"/>
    <cellStyle name="HK$#,##0" xfId="1555" xr:uid="{00000000-0005-0000-0000-0000DF090000}"/>
    <cellStyle name="HK$#,##0.00" xfId="1556" xr:uid="{00000000-0005-0000-0000-0000E0090000}"/>
    <cellStyle name="ht" xfId="1557" xr:uid="{00000000-0005-0000-0000-0000E1090000}"/>
    <cellStyle name="Hyperli?k segui?o" xfId="1558" xr:uid="{00000000-0005-0000-0000-0000E2090000}"/>
    <cellStyle name="Hyperlink 2" xfId="1560" xr:uid="{00000000-0005-0000-0000-0000E3090000}"/>
    <cellStyle name="Hyperliᯮk segui᫤o" xfId="1559" xr:uid="{00000000-0005-0000-0000-0000E4090000}"/>
    <cellStyle name="Hyp᧥rlink_A᫬exandre" xfId="1561" xr:uid="{00000000-0005-0000-0000-0000E5090000}"/>
    <cellStyle name="Incorreto 2" xfId="33" xr:uid="{00000000-0005-0000-0000-0000E6090000}"/>
    <cellStyle name="Incorreto 3" xfId="7158" xr:uid="{00000000-0005-0000-0000-0000E7090000}"/>
    <cellStyle name="Incorreto 4" xfId="7159" xr:uid="{00000000-0005-0000-0000-0000E8090000}"/>
    <cellStyle name="Incorreto 5" xfId="6247" xr:uid="{00000000-0005-0000-0000-0000E9090000}"/>
    <cellStyle name="INCSTMT" xfId="1562" xr:uid="{00000000-0005-0000-0000-0000EA090000}"/>
    <cellStyle name="Indefinido" xfId="1563" xr:uid="{00000000-0005-0000-0000-0000EB090000}"/>
    <cellStyle name="indice" xfId="1564" xr:uid="{00000000-0005-0000-0000-0000EC090000}"/>
    <cellStyle name="Input" xfId="1565" xr:uid="{00000000-0005-0000-0000-0000ED090000}"/>
    <cellStyle name="Input %" xfId="1566" xr:uid="{00000000-0005-0000-0000-0000EE090000}"/>
    <cellStyle name="Input [yellow]" xfId="1567" xr:uid="{00000000-0005-0000-0000-0000EF090000}"/>
    <cellStyle name="Input [yellow] 2" xfId="1568" xr:uid="{00000000-0005-0000-0000-0000F0090000}"/>
    <cellStyle name="Input [yellow]_INFO" xfId="1569" xr:uid="{00000000-0005-0000-0000-0000F1090000}"/>
    <cellStyle name="Input 1" xfId="1570" xr:uid="{00000000-0005-0000-0000-0000F2090000}"/>
    <cellStyle name="Input 2" xfId="1571" xr:uid="{00000000-0005-0000-0000-0000F3090000}"/>
    <cellStyle name="Input 3" xfId="1572" xr:uid="{00000000-0005-0000-0000-0000F4090000}"/>
    <cellStyle name="Input 4" xfId="1573" xr:uid="{00000000-0005-0000-0000-0000F5090000}"/>
    <cellStyle name="Input 5" xfId="1574" xr:uid="{00000000-0005-0000-0000-0000F6090000}"/>
    <cellStyle name="Input Currency" xfId="1575" xr:uid="{00000000-0005-0000-0000-0000F7090000}"/>
    <cellStyle name="Input Currency 2" xfId="1576" xr:uid="{00000000-0005-0000-0000-0000F8090000}"/>
    <cellStyle name="Input Currency_INFO" xfId="1577" xr:uid="{00000000-0005-0000-0000-0000F9090000}"/>
    <cellStyle name="Input Date" xfId="1578" xr:uid="{00000000-0005-0000-0000-0000FA090000}"/>
    <cellStyle name="Input Date 2" xfId="1579" xr:uid="{00000000-0005-0000-0000-0000FB090000}"/>
    <cellStyle name="Input Fixed [0]" xfId="1580" xr:uid="{00000000-0005-0000-0000-0000FC090000}"/>
    <cellStyle name="Input Fixed [0] 2" xfId="1581" xr:uid="{00000000-0005-0000-0000-0000FD090000}"/>
    <cellStyle name="Input Normal" xfId="1582" xr:uid="{00000000-0005-0000-0000-0000FE090000}"/>
    <cellStyle name="Input Normal 2" xfId="1583" xr:uid="{00000000-0005-0000-0000-0000FF090000}"/>
    <cellStyle name="Input Normal_INFO" xfId="1584" xr:uid="{00000000-0005-0000-0000-0000000A0000}"/>
    <cellStyle name="Input Number" xfId="1585" xr:uid="{00000000-0005-0000-0000-0000010A0000}"/>
    <cellStyle name="Input Percent" xfId="1586" xr:uid="{00000000-0005-0000-0000-0000020A0000}"/>
    <cellStyle name="Input Percent [2]" xfId="1587" xr:uid="{00000000-0005-0000-0000-0000030A0000}"/>
    <cellStyle name="Input Percent [2] 2" xfId="1588" xr:uid="{00000000-0005-0000-0000-0000040A0000}"/>
    <cellStyle name="Input Percent [2]_INFO" xfId="1589" xr:uid="{00000000-0005-0000-0000-0000050A0000}"/>
    <cellStyle name="Input Percent 2" xfId="1590" xr:uid="{00000000-0005-0000-0000-0000060A0000}"/>
    <cellStyle name="Input Percent_~2144771" xfId="1591" xr:uid="{00000000-0005-0000-0000-0000070A0000}"/>
    <cellStyle name="Input Text" xfId="1592" xr:uid="{00000000-0005-0000-0000-0000080A0000}"/>
    <cellStyle name="Input Titles" xfId="1593" xr:uid="{00000000-0005-0000-0000-0000090A0000}"/>
    <cellStyle name="Input Titles 2" xfId="1594" xr:uid="{00000000-0005-0000-0000-00000A0A0000}"/>
    <cellStyle name="Input_$cell" xfId="1595" xr:uid="{00000000-0005-0000-0000-00000B0A0000}"/>
    <cellStyle name="InputBlueFont" xfId="1596" xr:uid="{00000000-0005-0000-0000-00000C0A0000}"/>
    <cellStyle name="InputBlueFontLocked" xfId="1597" xr:uid="{00000000-0005-0000-0000-00000D0A0000}"/>
    <cellStyle name="InputPct" xfId="1598" xr:uid="{00000000-0005-0000-0000-00000E0A0000}"/>
    <cellStyle name="InputRedFont" xfId="1599" xr:uid="{00000000-0005-0000-0000-00000F0A0000}"/>
    <cellStyle name="Integer" xfId="1600" xr:uid="{00000000-0005-0000-0000-0000100A0000}"/>
    <cellStyle name="Invisible" xfId="1601" xr:uid="{00000000-0005-0000-0000-0000110A0000}"/>
    <cellStyle name="Invisible 2" xfId="1602" xr:uid="{00000000-0005-0000-0000-0000120A0000}"/>
    <cellStyle name="Item" xfId="1603" xr:uid="{00000000-0005-0000-0000-0000130A0000}"/>
    <cellStyle name="ItemTypeClass" xfId="1604" xr:uid="{00000000-0005-0000-0000-0000140A0000}"/>
    <cellStyle name="ItemTypeClass 2" xfId="7160" xr:uid="{00000000-0005-0000-0000-0000150A0000}"/>
    <cellStyle name="Komma [0]_laroux" xfId="7161" xr:uid="{00000000-0005-0000-0000-0000160A0000}"/>
    <cellStyle name="Komma_laroux" xfId="7162" xr:uid="{00000000-0005-0000-0000-0000170A0000}"/>
    <cellStyle name="Lien hypertexte_PERSONAL" xfId="1605" xr:uid="{00000000-0005-0000-0000-0000180A0000}"/>
    <cellStyle name="Limpo" xfId="1606" xr:uid="{00000000-0005-0000-0000-0000190A0000}"/>
    <cellStyle name="Link" xfId="1607" xr:uid="{00000000-0005-0000-0000-00001A0A0000}"/>
    <cellStyle name="Link 2" xfId="7163" xr:uid="{00000000-0005-0000-0000-00001B0A0000}"/>
    <cellStyle name="Link Currency (0)" xfId="1608" xr:uid="{00000000-0005-0000-0000-00001C0A0000}"/>
    <cellStyle name="Link Currency (0) 2" xfId="7164" xr:uid="{00000000-0005-0000-0000-00001D0A0000}"/>
    <cellStyle name="Link Currency (2)" xfId="1609" xr:uid="{00000000-0005-0000-0000-00001E0A0000}"/>
    <cellStyle name="Link Currency (2) 2" xfId="7165" xr:uid="{00000000-0005-0000-0000-00001F0A0000}"/>
    <cellStyle name="Link Units (0)" xfId="1610" xr:uid="{00000000-0005-0000-0000-0000200A0000}"/>
    <cellStyle name="Link Units (0) 2" xfId="7166" xr:uid="{00000000-0005-0000-0000-0000210A0000}"/>
    <cellStyle name="Link Units (1)" xfId="1611" xr:uid="{00000000-0005-0000-0000-0000220A0000}"/>
    <cellStyle name="Link Units (1) 2" xfId="7167" xr:uid="{00000000-0005-0000-0000-0000230A0000}"/>
    <cellStyle name="Link Units (2)" xfId="1612" xr:uid="{00000000-0005-0000-0000-0000240A0000}"/>
    <cellStyle name="Link Units (2) 2" xfId="7168" xr:uid="{00000000-0005-0000-0000-0000250A0000}"/>
    <cellStyle name="Linked Cell" xfId="1613" xr:uid="{00000000-0005-0000-0000-0000260A0000}"/>
    <cellStyle name="Linked Cell 2" xfId="1614" xr:uid="{00000000-0005-0000-0000-0000270A0000}"/>
    <cellStyle name="Lite Shading" xfId="7169" xr:uid="{00000000-0005-0000-0000-0000280A0000}"/>
    <cellStyle name="lpt" xfId="1615" xr:uid="{00000000-0005-0000-0000-0000290A0000}"/>
    <cellStyle name="lspt" xfId="1616" xr:uid="{00000000-0005-0000-0000-00002A0A0000}"/>
    <cellStyle name="m" xfId="1617" xr:uid="{00000000-0005-0000-0000-00002B0A0000}"/>
    <cellStyle name="m_pearl_wacc" xfId="1618" xr:uid="{00000000-0005-0000-0000-00002C0A0000}"/>
    <cellStyle name="MacroCode" xfId="1619" xr:uid="{00000000-0005-0000-0000-00002D0A0000}"/>
    <cellStyle name="MainHead" xfId="1620" xr:uid="{00000000-0005-0000-0000-00002E0A0000}"/>
    <cellStyle name="MatrizDados" xfId="1621" xr:uid="{00000000-0005-0000-0000-00002F0A0000}"/>
    <cellStyle name="Meses" xfId="1622" xr:uid="{00000000-0005-0000-0000-0000300A0000}"/>
    <cellStyle name="Meses 2" xfId="7170" xr:uid="{00000000-0005-0000-0000-0000310A0000}"/>
    <cellStyle name="Mike" xfId="1623" xr:uid="{00000000-0005-0000-0000-0000320A0000}"/>
    <cellStyle name="Mike 2" xfId="1624" xr:uid="{00000000-0005-0000-0000-0000330A0000}"/>
    <cellStyle name="Millares [0]_10 AVERIAS MASIVAS + ANT" xfId="1625" xr:uid="{00000000-0005-0000-0000-0000340A0000}"/>
    <cellStyle name="Millares_10 AVERIAS MASIVAS + ANT" xfId="1626" xr:uid="{00000000-0005-0000-0000-0000350A0000}"/>
    <cellStyle name="Milliers [0]_!!!GO" xfId="7171" xr:uid="{00000000-0005-0000-0000-0000360A0000}"/>
    <cellStyle name="Milliers_!!!GO" xfId="7172" xr:uid="{00000000-0005-0000-0000-0000370A0000}"/>
    <cellStyle name="Moeda 2" xfId="1627" xr:uid="{00000000-0005-0000-0000-0000380A0000}"/>
    <cellStyle name="Moeda 3" xfId="7173" xr:uid="{00000000-0005-0000-0000-0000390A0000}"/>
    <cellStyle name="Moeda?[0]" xfId="1628" xr:uid="{00000000-0005-0000-0000-00003A0A0000}"/>
    <cellStyle name="Moeda0" xfId="7174" xr:uid="{00000000-0005-0000-0000-00003B0A0000}"/>
    <cellStyle name="Moeda0 2" xfId="7175" xr:uid="{00000000-0005-0000-0000-00003C0A0000}"/>
    <cellStyle name="Moedaᦠ[0]" xfId="1629" xr:uid="{00000000-0005-0000-0000-00003D0A0000}"/>
    <cellStyle name="Moneda [0]_10 AVERIAS MASIVAS + ANT" xfId="1630" xr:uid="{00000000-0005-0000-0000-00003E0A0000}"/>
    <cellStyle name="Moneda_10 AVERIAS MASIVAS + ANT" xfId="1631" xr:uid="{00000000-0005-0000-0000-00003F0A0000}"/>
    <cellStyle name="Monétaire [0]_!!!GO" xfId="7176" xr:uid="{00000000-0005-0000-0000-0000400A0000}"/>
    <cellStyle name="Monétaire_!!!GO" xfId="7177" xr:uid="{00000000-0005-0000-0000-0000410A0000}"/>
    <cellStyle name="Monetario" xfId="1632" xr:uid="{00000000-0005-0000-0000-0000420A0000}"/>
    <cellStyle name="Month" xfId="1633" xr:uid="{00000000-0005-0000-0000-0000430A0000}"/>
    <cellStyle name="Morgan" xfId="1634" xr:uid="{00000000-0005-0000-0000-0000440A0000}"/>
    <cellStyle name="movimentação" xfId="1635" xr:uid="{00000000-0005-0000-0000-0000450A0000}"/>
    <cellStyle name="mt" xfId="1636" xr:uid="{00000000-0005-0000-0000-0000460A0000}"/>
    <cellStyle name="mult" xfId="1637" xr:uid="{00000000-0005-0000-0000-0000470A0000}"/>
    <cellStyle name="Multiple" xfId="1638" xr:uid="{00000000-0005-0000-0000-0000480A0000}"/>
    <cellStyle name="n" xfId="1639" xr:uid="{00000000-0005-0000-0000-0000490A0000}"/>
    <cellStyle name="n_Q2 pipeline" xfId="1640" xr:uid="{00000000-0005-0000-0000-00004A0A0000}"/>
    <cellStyle name="n_Q2 pipeline 2" xfId="7178" xr:uid="{00000000-0005-0000-0000-00004B0A0000}"/>
    <cellStyle name="n_Q2 pipeline_Cópia de Modelo - Fluxo de Caixa Orcamento 09052009_V36_3" xfId="1641" xr:uid="{00000000-0005-0000-0000-00004C0A0000}"/>
    <cellStyle name="n_Q2 pipeline_Cópia de Modelo - Fluxo de Caixa Orcamento 09052009_V36_3 2" xfId="7179" xr:uid="{00000000-0005-0000-0000-00004D0A0000}"/>
    <cellStyle name="n_Q2 pipeline_Fluxo de Caixa Orcamento FINAL_13052009" xfId="1642" xr:uid="{00000000-0005-0000-0000-00004E0A0000}"/>
    <cellStyle name="n_Q2 pipeline_Fluxo de Caixa Orcamento FINAL_13052009 2" xfId="7180" xr:uid="{00000000-0005-0000-0000-00004F0A0000}"/>
    <cellStyle name="n_Q2 pipeline_FM_dummyV4" xfId="1643" xr:uid="{00000000-0005-0000-0000-0000500A0000}"/>
    <cellStyle name="n_Q2 pipeline_lalur" xfId="1644" xr:uid="{00000000-0005-0000-0000-0000510A0000}"/>
    <cellStyle name="n_Q2 pipeline_Leasing_V3" xfId="1645" xr:uid="{00000000-0005-0000-0000-0000520A0000}"/>
    <cellStyle name="n_Q2 pipeline_MODELO PDP III" xfId="1646" xr:uid="{00000000-0005-0000-0000-0000530A0000}"/>
    <cellStyle name="n_Q2 pipeline_ORÇ_2009" xfId="1647" xr:uid="{00000000-0005-0000-0000-0000540A0000}"/>
    <cellStyle name="n_Q2 pipeline_ORÇ_2009 2" xfId="7181" xr:uid="{00000000-0005-0000-0000-0000550A0000}"/>
    <cellStyle name="n_Q2 pipeline_Pasta2" xfId="1648" xr:uid="{00000000-0005-0000-0000-0000560A0000}"/>
    <cellStyle name="n_Q2 pipeline_Pasta2 2" xfId="7182" xr:uid="{00000000-0005-0000-0000-0000570A0000}"/>
    <cellStyle name="n0" xfId="1649" xr:uid="{00000000-0005-0000-0000-0000580A0000}"/>
    <cellStyle name="n1" xfId="1650" xr:uid="{00000000-0005-0000-0000-0000590A0000}"/>
    <cellStyle name="n2" xfId="1651" xr:uid="{00000000-0005-0000-0000-00005A0A0000}"/>
    <cellStyle name="NA is zero" xfId="1652" xr:uid="{00000000-0005-0000-0000-00005B0A0000}"/>
    <cellStyle name="NA is zero 2" xfId="1653" xr:uid="{00000000-0005-0000-0000-00005C0A0000}"/>
    <cellStyle name="Names" xfId="1654" xr:uid="{00000000-0005-0000-0000-00005D0A0000}"/>
    <cellStyle name="Names 2" xfId="7183" xr:uid="{00000000-0005-0000-0000-00005E0A0000}"/>
    <cellStyle name="Neutra 2" xfId="34" xr:uid="{00000000-0005-0000-0000-00005F0A0000}"/>
    <cellStyle name="Neutra 3" xfId="6236" xr:uid="{00000000-0005-0000-0000-0000600A0000}"/>
    <cellStyle name="Neutra 4" xfId="7184" xr:uid="{00000000-0005-0000-0000-0000610A0000}"/>
    <cellStyle name="Neutra 5" xfId="6248" xr:uid="{00000000-0005-0000-0000-0000620A0000}"/>
    <cellStyle name="Neutral" xfId="1655" xr:uid="{00000000-0005-0000-0000-0000630A0000}"/>
    <cellStyle name="Neutral 2" xfId="1656" xr:uid="{00000000-0005-0000-0000-0000640A0000}"/>
    <cellStyle name="New Times Roman" xfId="7185" xr:uid="{00000000-0005-0000-0000-0000650A0000}"/>
    <cellStyle name="no" xfId="1657" xr:uid="{00000000-0005-0000-0000-0000660A0000}"/>
    <cellStyle name="no dec" xfId="1658" xr:uid="{00000000-0005-0000-0000-0000670A0000}"/>
    <cellStyle name="NODEC" xfId="1659" xr:uid="{00000000-0005-0000-0000-0000680A0000}"/>
    <cellStyle name="Normal" xfId="0" builtinId="0"/>
    <cellStyle name="Normal - Bold" xfId="1660" xr:uid="{00000000-0005-0000-0000-00006A0A0000}"/>
    <cellStyle name="Normal - Estilo1" xfId="7186" xr:uid="{00000000-0005-0000-0000-00006B0A0000}"/>
    <cellStyle name="Normal - Estilo2" xfId="7187" xr:uid="{00000000-0005-0000-0000-00006C0A0000}"/>
    <cellStyle name="Normal - Estilo3" xfId="7188" xr:uid="{00000000-0005-0000-0000-00006D0A0000}"/>
    <cellStyle name="Normal - Estilo4" xfId="7189" xr:uid="{00000000-0005-0000-0000-00006E0A0000}"/>
    <cellStyle name="Normal - Estilo5" xfId="7190" xr:uid="{00000000-0005-0000-0000-00006F0A0000}"/>
    <cellStyle name="Normal - Estilo6" xfId="7191" xr:uid="{00000000-0005-0000-0000-0000700A0000}"/>
    <cellStyle name="Normal - Estilo7" xfId="7192" xr:uid="{00000000-0005-0000-0000-0000710A0000}"/>
    <cellStyle name="Normal - Estilo8" xfId="7193" xr:uid="{00000000-0005-0000-0000-0000720A0000}"/>
    <cellStyle name="Normal - Style1" xfId="1661" xr:uid="{00000000-0005-0000-0000-0000730A0000}"/>
    <cellStyle name="Normal - Style1 2" xfId="1662" xr:uid="{00000000-0005-0000-0000-0000740A0000}"/>
    <cellStyle name="Normal (12)" xfId="1663" xr:uid="{00000000-0005-0000-0000-0000750A0000}"/>
    <cellStyle name="Normal [0]" xfId="1664" xr:uid="{00000000-0005-0000-0000-0000760A0000}"/>
    <cellStyle name="Normal [0] 2" xfId="1665" xr:uid="{00000000-0005-0000-0000-0000770A0000}"/>
    <cellStyle name="Normal [1]" xfId="1666" xr:uid="{00000000-0005-0000-0000-0000780A0000}"/>
    <cellStyle name="Normal [1] 2" xfId="1667" xr:uid="{00000000-0005-0000-0000-0000790A0000}"/>
    <cellStyle name="Normal [2]" xfId="1668" xr:uid="{00000000-0005-0000-0000-00007A0A0000}"/>
    <cellStyle name="Normal [2] 2" xfId="1669" xr:uid="{00000000-0005-0000-0000-00007B0A0000}"/>
    <cellStyle name="Normal [3]" xfId="1670" xr:uid="{00000000-0005-0000-0000-00007C0A0000}"/>
    <cellStyle name="Normal [3] 2" xfId="1671" xr:uid="{00000000-0005-0000-0000-00007D0A0000}"/>
    <cellStyle name="Normal 10" xfId="1672" xr:uid="{00000000-0005-0000-0000-00007E0A0000}"/>
    <cellStyle name="Normal 10 2" xfId="7194" xr:uid="{00000000-0005-0000-0000-00007F0A0000}"/>
    <cellStyle name="Normal 10 2 2" xfId="7195" xr:uid="{00000000-0005-0000-0000-0000800A0000}"/>
    <cellStyle name="Normal 10 5 2" xfId="9390" xr:uid="{00000000-0005-0000-0000-0000810A0000}"/>
    <cellStyle name="Normal 10 5 2 2" xfId="9517" xr:uid="{00000000-0005-0000-0000-0000820A0000}"/>
    <cellStyle name="Normal 11" xfId="1673" xr:uid="{00000000-0005-0000-0000-0000830A0000}"/>
    <cellStyle name="Normal 12" xfId="1674" xr:uid="{00000000-0005-0000-0000-0000840A0000}"/>
    <cellStyle name="Normal 12 2" xfId="1675" xr:uid="{00000000-0005-0000-0000-0000850A0000}"/>
    <cellStyle name="Normal 12 2 2" xfId="1676" xr:uid="{00000000-0005-0000-0000-0000860A0000}"/>
    <cellStyle name="Normal 12 2 2 2" xfId="9518" xr:uid="{00000000-0005-0000-0000-0000870A0000}"/>
    <cellStyle name="Normal 12 2 3" xfId="9519" xr:uid="{00000000-0005-0000-0000-0000880A0000}"/>
    <cellStyle name="Normal 12 3" xfId="1677" xr:uid="{00000000-0005-0000-0000-0000890A0000}"/>
    <cellStyle name="Normal 12 3 2" xfId="9520" xr:uid="{00000000-0005-0000-0000-00008A0A0000}"/>
    <cellStyle name="Normal 12 4" xfId="9521" xr:uid="{00000000-0005-0000-0000-00008B0A0000}"/>
    <cellStyle name="Normal 13" xfId="1678" xr:uid="{00000000-0005-0000-0000-00008C0A0000}"/>
    <cellStyle name="Normal 13 2" xfId="1679" xr:uid="{00000000-0005-0000-0000-00008D0A0000}"/>
    <cellStyle name="Normal 13 2 2" xfId="1680" xr:uid="{00000000-0005-0000-0000-00008E0A0000}"/>
    <cellStyle name="Normal 13 2 2 2" xfId="9522" xr:uid="{00000000-0005-0000-0000-00008F0A0000}"/>
    <cellStyle name="Normal 13 2 3" xfId="9523" xr:uid="{00000000-0005-0000-0000-0000900A0000}"/>
    <cellStyle name="Normal 13 3" xfId="1681" xr:uid="{00000000-0005-0000-0000-0000910A0000}"/>
    <cellStyle name="Normal 13 3 2" xfId="9524" xr:uid="{00000000-0005-0000-0000-0000920A0000}"/>
    <cellStyle name="Normal 13 4" xfId="9525" xr:uid="{00000000-0005-0000-0000-0000930A0000}"/>
    <cellStyle name="Normal 14" xfId="1682" xr:uid="{00000000-0005-0000-0000-0000940A0000}"/>
    <cellStyle name="Normal 14 2" xfId="1683" xr:uid="{00000000-0005-0000-0000-0000950A0000}"/>
    <cellStyle name="Normal 14 2 2" xfId="1684" xr:uid="{00000000-0005-0000-0000-0000960A0000}"/>
    <cellStyle name="Normal 14 2 2 2" xfId="9526" xr:uid="{00000000-0005-0000-0000-0000970A0000}"/>
    <cellStyle name="Normal 14 2 3" xfId="9527" xr:uid="{00000000-0005-0000-0000-0000980A0000}"/>
    <cellStyle name="Normal 14 3" xfId="1685" xr:uid="{00000000-0005-0000-0000-0000990A0000}"/>
    <cellStyle name="Normal 14 3 2" xfId="9528" xr:uid="{00000000-0005-0000-0000-00009A0A0000}"/>
    <cellStyle name="Normal 14 4" xfId="7196" xr:uid="{00000000-0005-0000-0000-00009B0A0000}"/>
    <cellStyle name="Normal 14 5" xfId="9529" xr:uid="{00000000-0005-0000-0000-00009C0A0000}"/>
    <cellStyle name="Normal 15" xfId="1686" xr:uid="{00000000-0005-0000-0000-00009D0A0000}"/>
    <cellStyle name="Normal 15 2" xfId="7197" xr:uid="{00000000-0005-0000-0000-00009E0A0000}"/>
    <cellStyle name="Normal 16" xfId="1687" xr:uid="{00000000-0005-0000-0000-00009F0A0000}"/>
    <cellStyle name="Normal 16 2" xfId="1688" xr:uid="{00000000-0005-0000-0000-0000A00A0000}"/>
    <cellStyle name="Normal 16 2 2" xfId="1689" xr:uid="{00000000-0005-0000-0000-0000A10A0000}"/>
    <cellStyle name="Normal 16 2 2 2" xfId="9530" xr:uid="{00000000-0005-0000-0000-0000A20A0000}"/>
    <cellStyle name="Normal 16 2 3" xfId="9531" xr:uid="{00000000-0005-0000-0000-0000A30A0000}"/>
    <cellStyle name="Normal 16 3" xfId="1690" xr:uid="{00000000-0005-0000-0000-0000A40A0000}"/>
    <cellStyle name="Normal 16 3 2" xfId="9532" xr:uid="{00000000-0005-0000-0000-0000A50A0000}"/>
    <cellStyle name="Normal 16 4" xfId="9533" xr:uid="{00000000-0005-0000-0000-0000A60A0000}"/>
    <cellStyle name="Normal 17" xfId="1691" xr:uid="{00000000-0005-0000-0000-0000A70A0000}"/>
    <cellStyle name="Normal 17 2" xfId="7198" xr:uid="{00000000-0005-0000-0000-0000A80A0000}"/>
    <cellStyle name="Normal 17 3" xfId="9389" xr:uid="{00000000-0005-0000-0000-0000A90A0000}"/>
    <cellStyle name="Normal 17 3 2" xfId="9394" xr:uid="{00000000-0005-0000-0000-0000AA0A0000}"/>
    <cellStyle name="Normal 18" xfId="1692" xr:uid="{00000000-0005-0000-0000-0000AB0A0000}"/>
    <cellStyle name="Normal 18 2" xfId="1693" xr:uid="{00000000-0005-0000-0000-0000AC0A0000}"/>
    <cellStyle name="Normal 18 2 2" xfId="1694" xr:uid="{00000000-0005-0000-0000-0000AD0A0000}"/>
    <cellStyle name="Normal 18 2 2 2" xfId="9534" xr:uid="{00000000-0005-0000-0000-0000AE0A0000}"/>
    <cellStyle name="Normal 18 2 3" xfId="9535" xr:uid="{00000000-0005-0000-0000-0000AF0A0000}"/>
    <cellStyle name="Normal 18 3" xfId="1695" xr:uid="{00000000-0005-0000-0000-0000B00A0000}"/>
    <cellStyle name="Normal 18 3 2" xfId="9536" xr:uid="{00000000-0005-0000-0000-0000B10A0000}"/>
    <cellStyle name="Normal 18 4" xfId="9537" xr:uid="{00000000-0005-0000-0000-0000B20A0000}"/>
    <cellStyle name="Normal 19" xfId="1696" xr:uid="{00000000-0005-0000-0000-0000B30A0000}"/>
    <cellStyle name="Normal 19 2" xfId="1697" xr:uid="{00000000-0005-0000-0000-0000B40A0000}"/>
    <cellStyle name="Normal 19 2 2" xfId="1698" xr:uid="{00000000-0005-0000-0000-0000B50A0000}"/>
    <cellStyle name="Normal 19 2 2 2" xfId="1699" xr:uid="{00000000-0005-0000-0000-0000B60A0000}"/>
    <cellStyle name="Normal 19 2 2 2 2" xfId="9538" xr:uid="{00000000-0005-0000-0000-0000B70A0000}"/>
    <cellStyle name="Normal 19 2 2 3" xfId="9539" xr:uid="{00000000-0005-0000-0000-0000B80A0000}"/>
    <cellStyle name="Normal 19 2 3" xfId="1700" xr:uid="{00000000-0005-0000-0000-0000B90A0000}"/>
    <cellStyle name="Normal 19 2 3 2" xfId="9540" xr:uid="{00000000-0005-0000-0000-0000BA0A0000}"/>
    <cellStyle name="Normal 19 2 4" xfId="9541" xr:uid="{00000000-0005-0000-0000-0000BB0A0000}"/>
    <cellStyle name="Normal 19 3" xfId="1701" xr:uid="{00000000-0005-0000-0000-0000BC0A0000}"/>
    <cellStyle name="Normal 19 3 2" xfId="1702" xr:uid="{00000000-0005-0000-0000-0000BD0A0000}"/>
    <cellStyle name="Normal 19 3 2 2" xfId="9542" xr:uid="{00000000-0005-0000-0000-0000BE0A0000}"/>
    <cellStyle name="Normal 19 3 3" xfId="9543" xr:uid="{00000000-0005-0000-0000-0000BF0A0000}"/>
    <cellStyle name="Normal 19 4" xfId="1703" xr:uid="{00000000-0005-0000-0000-0000C00A0000}"/>
    <cellStyle name="Normal 19 4 2" xfId="9544" xr:uid="{00000000-0005-0000-0000-0000C10A0000}"/>
    <cellStyle name="Normal 19 5" xfId="9545" xr:uid="{00000000-0005-0000-0000-0000C20A0000}"/>
    <cellStyle name="Normal 2" xfId="35" xr:uid="{00000000-0005-0000-0000-0000C30A0000}"/>
    <cellStyle name="Normal 2 12" xfId="1704" xr:uid="{00000000-0005-0000-0000-0000C40A0000}"/>
    <cellStyle name="Normal 2 2" xfId="73" xr:uid="{00000000-0005-0000-0000-0000C50A0000}"/>
    <cellStyle name="Normal 2 2 2" xfId="1705" xr:uid="{00000000-0005-0000-0000-0000C60A0000}"/>
    <cellStyle name="Normal 2 2 2 2" xfId="1706" xr:uid="{00000000-0005-0000-0000-0000C70A0000}"/>
    <cellStyle name="Normal 2 2 2 2 2" xfId="9546" xr:uid="{00000000-0005-0000-0000-0000C80A0000}"/>
    <cellStyle name="Normal 2 2 2 3" xfId="6230" xr:uid="{00000000-0005-0000-0000-0000C90A0000}"/>
    <cellStyle name="Normal 2 2 2 4" xfId="9547" xr:uid="{00000000-0005-0000-0000-0000CA0A0000}"/>
    <cellStyle name="Normal 2 2 3" xfId="6285" xr:uid="{00000000-0005-0000-0000-0000CB0A0000}"/>
    <cellStyle name="Normal 2 3" xfId="1707" xr:uid="{00000000-0005-0000-0000-0000CC0A0000}"/>
    <cellStyle name="Normal 2 3 2" xfId="1708" xr:uid="{00000000-0005-0000-0000-0000CD0A0000}"/>
    <cellStyle name="Normal 2 4" xfId="1709" xr:uid="{00000000-0005-0000-0000-0000CE0A0000}"/>
    <cellStyle name="Normal 2 5" xfId="1710" xr:uid="{00000000-0005-0000-0000-0000CF0A0000}"/>
    <cellStyle name="Normal 2 5 2" xfId="1711" xr:uid="{00000000-0005-0000-0000-0000D00A0000}"/>
    <cellStyle name="Normal 2 5 2 2" xfId="1712" xr:uid="{00000000-0005-0000-0000-0000D10A0000}"/>
    <cellStyle name="Normal 2 5 2 2 2" xfId="9548" xr:uid="{00000000-0005-0000-0000-0000D20A0000}"/>
    <cellStyle name="Normal 2 5 2 3" xfId="9549" xr:uid="{00000000-0005-0000-0000-0000D30A0000}"/>
    <cellStyle name="Normal 2 5 3" xfId="1713" xr:uid="{00000000-0005-0000-0000-0000D40A0000}"/>
    <cellStyle name="Normal 2 5 3 2" xfId="9550" xr:uid="{00000000-0005-0000-0000-0000D50A0000}"/>
    <cellStyle name="Normal 2 5 4" xfId="9551" xr:uid="{00000000-0005-0000-0000-0000D60A0000}"/>
    <cellStyle name="Normal 2 6" xfId="1714" xr:uid="{00000000-0005-0000-0000-0000D70A0000}"/>
    <cellStyle name="Normal 2 6 5" xfId="9393" xr:uid="{00000000-0005-0000-0000-0000D80A0000}"/>
    <cellStyle name="Normal 2 7" xfId="9387" xr:uid="{00000000-0005-0000-0000-0000D90A0000}"/>
    <cellStyle name="Normal 2 7 2" xfId="9388" xr:uid="{00000000-0005-0000-0000-0000DA0A0000}"/>
    <cellStyle name="Normal 2 7 2 2" xfId="9552" xr:uid="{00000000-0005-0000-0000-0000DB0A0000}"/>
    <cellStyle name="Normal 2 7 3" xfId="9553" xr:uid="{00000000-0005-0000-0000-0000DC0A0000}"/>
    <cellStyle name="Normal 2 8" xfId="70" xr:uid="{00000000-0005-0000-0000-0000DD0A0000}"/>
    <cellStyle name="Normal 2 9" xfId="61" xr:uid="{00000000-0005-0000-0000-0000DE0A0000}"/>
    <cellStyle name="Normal 20" xfId="1715" xr:uid="{00000000-0005-0000-0000-0000DF0A0000}"/>
    <cellStyle name="Normal 20 2" xfId="1716" xr:uid="{00000000-0005-0000-0000-0000E00A0000}"/>
    <cellStyle name="Normal 20 2 2" xfId="1717" xr:uid="{00000000-0005-0000-0000-0000E10A0000}"/>
    <cellStyle name="Normal 20 2 2 2" xfId="9554" xr:uid="{00000000-0005-0000-0000-0000E20A0000}"/>
    <cellStyle name="Normal 20 2 3" xfId="9555" xr:uid="{00000000-0005-0000-0000-0000E30A0000}"/>
    <cellStyle name="Normal 20 3" xfId="1718" xr:uid="{00000000-0005-0000-0000-0000E40A0000}"/>
    <cellStyle name="Normal 20 3 2" xfId="9556" xr:uid="{00000000-0005-0000-0000-0000E50A0000}"/>
    <cellStyle name="Normal 20 4" xfId="9557" xr:uid="{00000000-0005-0000-0000-0000E60A0000}"/>
    <cellStyle name="Normal 21" xfId="1719" xr:uid="{00000000-0005-0000-0000-0000E70A0000}"/>
    <cellStyle name="Normal 21 2" xfId="1720" xr:uid="{00000000-0005-0000-0000-0000E80A0000}"/>
    <cellStyle name="Normal 21 2 2" xfId="1721" xr:uid="{00000000-0005-0000-0000-0000E90A0000}"/>
    <cellStyle name="Normal 21 2 2 2" xfId="9558" xr:uid="{00000000-0005-0000-0000-0000EA0A0000}"/>
    <cellStyle name="Normal 21 2 3" xfId="9559" xr:uid="{00000000-0005-0000-0000-0000EB0A0000}"/>
    <cellStyle name="Normal 21 3" xfId="1722" xr:uid="{00000000-0005-0000-0000-0000EC0A0000}"/>
    <cellStyle name="Normal 21 3 2" xfId="9560" xr:uid="{00000000-0005-0000-0000-0000ED0A0000}"/>
    <cellStyle name="Normal 21 4" xfId="9561" xr:uid="{00000000-0005-0000-0000-0000EE0A0000}"/>
    <cellStyle name="Normal 22" xfId="1723" xr:uid="{00000000-0005-0000-0000-0000EF0A0000}"/>
    <cellStyle name="Normal 22 2" xfId="1724" xr:uid="{00000000-0005-0000-0000-0000F00A0000}"/>
    <cellStyle name="Normal 22 2 2" xfId="1725" xr:uid="{00000000-0005-0000-0000-0000F10A0000}"/>
    <cellStyle name="Normal 22 2 2 2" xfId="9562" xr:uid="{00000000-0005-0000-0000-0000F20A0000}"/>
    <cellStyle name="Normal 22 2 3" xfId="9563" xr:uid="{00000000-0005-0000-0000-0000F30A0000}"/>
    <cellStyle name="Normal 22 3" xfId="1726" xr:uid="{00000000-0005-0000-0000-0000F40A0000}"/>
    <cellStyle name="Normal 22 3 2" xfId="9564" xr:uid="{00000000-0005-0000-0000-0000F50A0000}"/>
    <cellStyle name="Normal 22 4" xfId="9565" xr:uid="{00000000-0005-0000-0000-0000F60A0000}"/>
    <cellStyle name="Normal 23" xfId="1727" xr:uid="{00000000-0005-0000-0000-0000F70A0000}"/>
    <cellStyle name="Normal 23 2" xfId="1728" xr:uid="{00000000-0005-0000-0000-0000F80A0000}"/>
    <cellStyle name="Normal 23 2 2" xfId="1729" xr:uid="{00000000-0005-0000-0000-0000F90A0000}"/>
    <cellStyle name="Normal 23 2 2 2" xfId="9566" xr:uid="{00000000-0005-0000-0000-0000FA0A0000}"/>
    <cellStyle name="Normal 23 2 3" xfId="9567" xr:uid="{00000000-0005-0000-0000-0000FB0A0000}"/>
    <cellStyle name="Normal 23 3" xfId="1730" xr:uid="{00000000-0005-0000-0000-0000FC0A0000}"/>
    <cellStyle name="Normal 23 3 2" xfId="9568" xr:uid="{00000000-0005-0000-0000-0000FD0A0000}"/>
    <cellStyle name="Normal 23 4" xfId="9569" xr:uid="{00000000-0005-0000-0000-0000FE0A0000}"/>
    <cellStyle name="Normal 24" xfId="1731" xr:uid="{00000000-0005-0000-0000-0000FF0A0000}"/>
    <cellStyle name="Normal 24 2" xfId="1732" xr:uid="{00000000-0005-0000-0000-0000000B0000}"/>
    <cellStyle name="Normal 24 2 2" xfId="1733" xr:uid="{00000000-0005-0000-0000-0000010B0000}"/>
    <cellStyle name="Normal 24 2 2 2" xfId="9570" xr:uid="{00000000-0005-0000-0000-0000020B0000}"/>
    <cellStyle name="Normal 24 2 3" xfId="9571" xr:uid="{00000000-0005-0000-0000-0000030B0000}"/>
    <cellStyle name="Normal 24 3" xfId="1734" xr:uid="{00000000-0005-0000-0000-0000040B0000}"/>
    <cellStyle name="Normal 24 3 2" xfId="9572" xr:uid="{00000000-0005-0000-0000-0000050B0000}"/>
    <cellStyle name="Normal 24 4" xfId="9573" xr:uid="{00000000-0005-0000-0000-0000060B0000}"/>
    <cellStyle name="Normal 25" xfId="1735" xr:uid="{00000000-0005-0000-0000-0000070B0000}"/>
    <cellStyle name="Normal 25 2" xfId="1736" xr:uid="{00000000-0005-0000-0000-0000080B0000}"/>
    <cellStyle name="Normal 25 2 2" xfId="1737" xr:uid="{00000000-0005-0000-0000-0000090B0000}"/>
    <cellStyle name="Normal 25 2 2 2" xfId="9574" xr:uid="{00000000-0005-0000-0000-00000A0B0000}"/>
    <cellStyle name="Normal 25 2 3" xfId="9575" xr:uid="{00000000-0005-0000-0000-00000B0B0000}"/>
    <cellStyle name="Normal 25 3" xfId="1738" xr:uid="{00000000-0005-0000-0000-00000C0B0000}"/>
    <cellStyle name="Normal 25 3 2" xfId="9576" xr:uid="{00000000-0005-0000-0000-00000D0B0000}"/>
    <cellStyle name="Normal 25 4" xfId="9577" xr:uid="{00000000-0005-0000-0000-00000E0B0000}"/>
    <cellStyle name="Normal 26" xfId="1739" xr:uid="{00000000-0005-0000-0000-00000F0B0000}"/>
    <cellStyle name="Normal 26 2" xfId="1740" xr:uid="{00000000-0005-0000-0000-0000100B0000}"/>
    <cellStyle name="Normal 26 2 2" xfId="9578" xr:uid="{00000000-0005-0000-0000-0000110B0000}"/>
    <cellStyle name="Normal 26 3" xfId="9579" xr:uid="{00000000-0005-0000-0000-0000120B0000}"/>
    <cellStyle name="Normal 27" xfId="1741" xr:uid="{00000000-0005-0000-0000-0000130B0000}"/>
    <cellStyle name="Normal 27 2" xfId="1742" xr:uid="{00000000-0005-0000-0000-0000140B0000}"/>
    <cellStyle name="Normal 27 2 2" xfId="9580" xr:uid="{00000000-0005-0000-0000-0000150B0000}"/>
    <cellStyle name="Normal 27 3" xfId="9581" xr:uid="{00000000-0005-0000-0000-0000160B0000}"/>
    <cellStyle name="Normal 28" xfId="1743" xr:uid="{00000000-0005-0000-0000-0000170B0000}"/>
    <cellStyle name="Normal 28 2" xfId="1744" xr:uid="{00000000-0005-0000-0000-0000180B0000}"/>
    <cellStyle name="Normal 28 2 2" xfId="1745" xr:uid="{00000000-0005-0000-0000-0000190B0000}"/>
    <cellStyle name="Normal 28 2 2 2" xfId="9582" xr:uid="{00000000-0005-0000-0000-00001A0B0000}"/>
    <cellStyle name="Normal 28 2 3" xfId="9583" xr:uid="{00000000-0005-0000-0000-00001B0B0000}"/>
    <cellStyle name="Normal 28 3" xfId="1746" xr:uid="{00000000-0005-0000-0000-00001C0B0000}"/>
    <cellStyle name="Normal 28 3 2" xfId="9584" xr:uid="{00000000-0005-0000-0000-00001D0B0000}"/>
    <cellStyle name="Normal 28 4" xfId="9585" xr:uid="{00000000-0005-0000-0000-00001E0B0000}"/>
    <cellStyle name="Normal 29" xfId="1747" xr:uid="{00000000-0005-0000-0000-00001F0B0000}"/>
    <cellStyle name="Normal 29 2" xfId="1748" xr:uid="{00000000-0005-0000-0000-0000200B0000}"/>
    <cellStyle name="Normal 29 2 2" xfId="9586" xr:uid="{00000000-0005-0000-0000-0000210B0000}"/>
    <cellStyle name="Normal 29 3" xfId="9587" xr:uid="{00000000-0005-0000-0000-0000220B0000}"/>
    <cellStyle name="Normal 3" xfId="3" xr:uid="{00000000-0005-0000-0000-0000230B0000}"/>
    <cellStyle name="Normal 3 2" xfId="1750" xr:uid="{00000000-0005-0000-0000-0000240B0000}"/>
    <cellStyle name="Normal 3 2 2" xfId="1751" xr:uid="{00000000-0005-0000-0000-0000250B0000}"/>
    <cellStyle name="Normal 3 2 2 2" xfId="1752" xr:uid="{00000000-0005-0000-0000-0000260B0000}"/>
    <cellStyle name="Normal 3 2 2 2 2" xfId="1753" xr:uid="{00000000-0005-0000-0000-0000270B0000}"/>
    <cellStyle name="Normal 3 2 2 2 2 2" xfId="9588" xr:uid="{00000000-0005-0000-0000-0000280B0000}"/>
    <cellStyle name="Normal 3 2 2 2 3" xfId="9589" xr:uid="{00000000-0005-0000-0000-0000290B0000}"/>
    <cellStyle name="Normal 3 2 2 3" xfId="1754" xr:uid="{00000000-0005-0000-0000-00002A0B0000}"/>
    <cellStyle name="Normal 3 2 2 3 2" xfId="9590" xr:uid="{00000000-0005-0000-0000-00002B0B0000}"/>
    <cellStyle name="Normal 3 2 2 4" xfId="9591" xr:uid="{00000000-0005-0000-0000-00002C0B0000}"/>
    <cellStyle name="Normal 3 3" xfId="1755" xr:uid="{00000000-0005-0000-0000-00002D0B0000}"/>
    <cellStyle name="Normal 3 4" xfId="1756" xr:uid="{00000000-0005-0000-0000-00002E0B0000}"/>
    <cellStyle name="Normal 3 4 2" xfId="1757" xr:uid="{00000000-0005-0000-0000-00002F0B0000}"/>
    <cellStyle name="Normal 3 4 2 2" xfId="9592" xr:uid="{00000000-0005-0000-0000-0000300B0000}"/>
    <cellStyle name="Normal 3 4 3" xfId="9593" xr:uid="{00000000-0005-0000-0000-0000310B0000}"/>
    <cellStyle name="Normal 3 5" xfId="1758" xr:uid="{00000000-0005-0000-0000-0000320B0000}"/>
    <cellStyle name="Normal 3 5 2" xfId="9594" xr:uid="{00000000-0005-0000-0000-0000330B0000}"/>
    <cellStyle name="Normal 3 6" xfId="1749" xr:uid="{00000000-0005-0000-0000-0000340B0000}"/>
    <cellStyle name="Normal 3 6 2" xfId="9595" xr:uid="{00000000-0005-0000-0000-0000350B0000}"/>
    <cellStyle name="Normal 3__Posição Hedge USD OIL" xfId="7199" xr:uid="{00000000-0005-0000-0000-0000360B0000}"/>
    <cellStyle name="Normal 30" xfId="1759" xr:uid="{00000000-0005-0000-0000-0000370B0000}"/>
    <cellStyle name="Normal 31" xfId="1760" xr:uid="{00000000-0005-0000-0000-0000380B0000}"/>
    <cellStyle name="Normal 32" xfId="1761" xr:uid="{00000000-0005-0000-0000-0000390B0000}"/>
    <cellStyle name="Normal 33" xfId="1762" xr:uid="{00000000-0005-0000-0000-00003A0B0000}"/>
    <cellStyle name="Normal 34" xfId="1763" xr:uid="{00000000-0005-0000-0000-00003B0B0000}"/>
    <cellStyle name="Normal 35" xfId="1764" xr:uid="{00000000-0005-0000-0000-00003C0B0000}"/>
    <cellStyle name="Normal 36" xfId="1765" xr:uid="{00000000-0005-0000-0000-00003D0B0000}"/>
    <cellStyle name="Normal 37" xfId="1766" xr:uid="{00000000-0005-0000-0000-00003E0B0000}"/>
    <cellStyle name="Normal 38" xfId="1767" xr:uid="{00000000-0005-0000-0000-00003F0B0000}"/>
    <cellStyle name="Normal 39" xfId="1768" xr:uid="{00000000-0005-0000-0000-0000400B0000}"/>
    <cellStyle name="Normal 4" xfId="36" xr:uid="{00000000-0005-0000-0000-0000410B0000}"/>
    <cellStyle name="Normal 4 2" xfId="1770" xr:uid="{00000000-0005-0000-0000-0000420B0000}"/>
    <cellStyle name="Normal 4 3" xfId="7200" xr:uid="{00000000-0005-0000-0000-0000430B0000}"/>
    <cellStyle name="Normal 4 4" xfId="1769" xr:uid="{00000000-0005-0000-0000-0000440B0000}"/>
    <cellStyle name="Normal 4 4 2" xfId="9596" xr:uid="{00000000-0005-0000-0000-0000450B0000}"/>
    <cellStyle name="Normal 4 5" xfId="62" xr:uid="{00000000-0005-0000-0000-0000460B0000}"/>
    <cellStyle name="Normal 40" xfId="1771" xr:uid="{00000000-0005-0000-0000-0000470B0000}"/>
    <cellStyle name="Normal 41" xfId="1772" xr:uid="{00000000-0005-0000-0000-0000480B0000}"/>
    <cellStyle name="Normal 42" xfId="1773" xr:uid="{00000000-0005-0000-0000-0000490B0000}"/>
    <cellStyle name="Normal 42 2" xfId="1774" xr:uid="{00000000-0005-0000-0000-00004A0B0000}"/>
    <cellStyle name="Normal 42 2 2" xfId="9597" xr:uid="{00000000-0005-0000-0000-00004B0B0000}"/>
    <cellStyle name="Normal 42 3" xfId="9598" xr:uid="{00000000-0005-0000-0000-00004C0B0000}"/>
    <cellStyle name="Normal 43" xfId="1775" xr:uid="{00000000-0005-0000-0000-00004D0B0000}"/>
    <cellStyle name="Normal 43 2" xfId="1776" xr:uid="{00000000-0005-0000-0000-00004E0B0000}"/>
    <cellStyle name="Normal 43 2 2" xfId="9599" xr:uid="{00000000-0005-0000-0000-00004F0B0000}"/>
    <cellStyle name="Normal 43 3" xfId="9600" xr:uid="{00000000-0005-0000-0000-0000500B0000}"/>
    <cellStyle name="Normal 44" xfId="1777" xr:uid="{00000000-0005-0000-0000-0000510B0000}"/>
    <cellStyle name="Normal 44 2" xfId="1778" xr:uid="{00000000-0005-0000-0000-0000520B0000}"/>
    <cellStyle name="Normal 44 2 2" xfId="9601" xr:uid="{00000000-0005-0000-0000-0000530B0000}"/>
    <cellStyle name="Normal 44 3" xfId="9602" xr:uid="{00000000-0005-0000-0000-0000540B0000}"/>
    <cellStyle name="Normal 45" xfId="1779" xr:uid="{00000000-0005-0000-0000-0000550B0000}"/>
    <cellStyle name="Normal 45 2" xfId="1780" xr:uid="{00000000-0005-0000-0000-0000560B0000}"/>
    <cellStyle name="Normal 45 2 2" xfId="9603" xr:uid="{00000000-0005-0000-0000-0000570B0000}"/>
    <cellStyle name="Normal 45 3" xfId="9604" xr:uid="{00000000-0005-0000-0000-0000580B0000}"/>
    <cellStyle name="Normal 46" xfId="1781" xr:uid="{00000000-0005-0000-0000-0000590B0000}"/>
    <cellStyle name="Normal 47" xfId="1782" xr:uid="{00000000-0005-0000-0000-00005A0B0000}"/>
    <cellStyle name="Normal 48" xfId="1783" xr:uid="{00000000-0005-0000-0000-00005B0B0000}"/>
    <cellStyle name="Normal 49" xfId="1784" xr:uid="{00000000-0005-0000-0000-00005C0B0000}"/>
    <cellStyle name="Normal 49 2" xfId="9605" xr:uid="{00000000-0005-0000-0000-00005D0B0000}"/>
    <cellStyle name="Normal 5" xfId="58" xr:uid="{00000000-0005-0000-0000-00005E0B0000}"/>
    <cellStyle name="Normal 5 2" xfId="1786" xr:uid="{00000000-0005-0000-0000-00005F0B0000}"/>
    <cellStyle name="Normal 5 3" xfId="1787" xr:uid="{00000000-0005-0000-0000-0000600B0000}"/>
    <cellStyle name="Normal 5 4" xfId="1785" xr:uid="{00000000-0005-0000-0000-0000610B0000}"/>
    <cellStyle name="Normal 50" xfId="1788" xr:uid="{00000000-0005-0000-0000-0000620B0000}"/>
    <cellStyle name="Normal 50 2" xfId="9606" xr:uid="{00000000-0005-0000-0000-0000630B0000}"/>
    <cellStyle name="Normal 51" xfId="1789" xr:uid="{00000000-0005-0000-0000-0000640B0000}"/>
    <cellStyle name="Normal 51 2" xfId="9607" xr:uid="{00000000-0005-0000-0000-0000650B0000}"/>
    <cellStyle name="Normal 52" xfId="1790" xr:uid="{00000000-0005-0000-0000-0000660B0000}"/>
    <cellStyle name="Normal 53" xfId="1791" xr:uid="{00000000-0005-0000-0000-0000670B0000}"/>
    <cellStyle name="Normal 54" xfId="1792" xr:uid="{00000000-0005-0000-0000-0000680B0000}"/>
    <cellStyle name="Normal 55" xfId="6225" xr:uid="{00000000-0005-0000-0000-0000690B0000}"/>
    <cellStyle name="Normal 56" xfId="6226" xr:uid="{00000000-0005-0000-0000-00006A0B0000}"/>
    <cellStyle name="Normal 57" xfId="6283" xr:uid="{00000000-0005-0000-0000-00006B0B0000}"/>
    <cellStyle name="Normal 58" xfId="6286" xr:uid="{00000000-0005-0000-0000-00006C0B0000}"/>
    <cellStyle name="Normal 59" xfId="6287" xr:uid="{00000000-0005-0000-0000-00006D0B0000}"/>
    <cellStyle name="Normal 6" xfId="37" xr:uid="{00000000-0005-0000-0000-00006E0B0000}"/>
    <cellStyle name="Normal 6 2" xfId="1794" xr:uid="{00000000-0005-0000-0000-00006F0B0000}"/>
    <cellStyle name="Normal 6 2 2" xfId="9494" xr:uid="{00000000-0005-0000-0000-0000700B0000}"/>
    <cellStyle name="Normal 6 3" xfId="1795" xr:uid="{00000000-0005-0000-0000-0000710B0000}"/>
    <cellStyle name="Normal 6 4" xfId="1793" xr:uid="{00000000-0005-0000-0000-0000720B0000}"/>
    <cellStyle name="Normal 6 5" xfId="63" xr:uid="{00000000-0005-0000-0000-0000730B0000}"/>
    <cellStyle name="Normal 60" xfId="6288" xr:uid="{00000000-0005-0000-0000-0000740B0000}"/>
    <cellStyle name="Normal 61" xfId="6289" xr:uid="{00000000-0005-0000-0000-0000750B0000}"/>
    <cellStyle name="Normal 62" xfId="6290" xr:uid="{00000000-0005-0000-0000-0000760B0000}"/>
    <cellStyle name="Normal 63" xfId="9386" xr:uid="{00000000-0005-0000-0000-0000770B0000}"/>
    <cellStyle name="Normal 64" xfId="69" xr:uid="{00000000-0005-0000-0000-0000780B0000}"/>
    <cellStyle name="Normal 64 2" xfId="9608" xr:uid="{00000000-0005-0000-0000-0000790B0000}"/>
    <cellStyle name="Normal 65" xfId="6018" xr:uid="{00000000-0005-0000-0000-00007A0B0000}"/>
    <cellStyle name="Normal 66" xfId="57" xr:uid="{00000000-0005-0000-0000-00007B0B0000}"/>
    <cellStyle name="Normal 66 2" xfId="9609" xr:uid="{00000000-0005-0000-0000-00007C0B0000}"/>
    <cellStyle name="Normal 7" xfId="1796" xr:uid="{00000000-0005-0000-0000-00007D0B0000}"/>
    <cellStyle name="Normal 7 2" xfId="1797" xr:uid="{00000000-0005-0000-0000-00007E0B0000}"/>
    <cellStyle name="Normal 7 2 2" xfId="7201" xr:uid="{00000000-0005-0000-0000-00007F0B0000}"/>
    <cellStyle name="Normal 7 3" xfId="6229" xr:uid="{00000000-0005-0000-0000-0000800B0000}"/>
    <cellStyle name="Normal 8" xfId="38" xr:uid="{00000000-0005-0000-0000-0000810B0000}"/>
    <cellStyle name="Normal 8 2" xfId="1799" xr:uid="{00000000-0005-0000-0000-0000820B0000}"/>
    <cellStyle name="Normal 8 2 2" xfId="9495" xr:uid="{00000000-0005-0000-0000-0000830B0000}"/>
    <cellStyle name="Normal 8 2 2 2" xfId="9610" xr:uid="{00000000-0005-0000-0000-0000840B0000}"/>
    <cellStyle name="Normal 8 2 3" xfId="9498" xr:uid="{00000000-0005-0000-0000-0000850B0000}"/>
    <cellStyle name="Normal 8 2 3 2" xfId="9611" xr:uid="{00000000-0005-0000-0000-0000860B0000}"/>
    <cellStyle name="Normal 8 3" xfId="7202" xr:uid="{00000000-0005-0000-0000-0000870B0000}"/>
    <cellStyle name="Normal 8 3 2" xfId="9612" xr:uid="{00000000-0005-0000-0000-0000880B0000}"/>
    <cellStyle name="Normal 8 4" xfId="1798" xr:uid="{00000000-0005-0000-0000-0000890B0000}"/>
    <cellStyle name="Normal 8 5" xfId="64" xr:uid="{00000000-0005-0000-0000-00008A0B0000}"/>
    <cellStyle name="Normal 8 5 2" xfId="9613" xr:uid="{00000000-0005-0000-0000-00008B0B0000}"/>
    <cellStyle name="Normal 8 6" xfId="9493" xr:uid="{00000000-0005-0000-0000-00008C0B0000}"/>
    <cellStyle name="Normal 8 6 2" xfId="9614" xr:uid="{00000000-0005-0000-0000-00008D0B0000}"/>
    <cellStyle name="Normal 8 7" xfId="9497" xr:uid="{00000000-0005-0000-0000-00008E0B0000}"/>
    <cellStyle name="Normal 8 7 2" xfId="9615" xr:uid="{00000000-0005-0000-0000-00008F0B0000}"/>
    <cellStyle name="Normal 8 8" xfId="9616" xr:uid="{00000000-0005-0000-0000-0000900B0000}"/>
    <cellStyle name="Normal 9" xfId="1800" xr:uid="{00000000-0005-0000-0000-0000910B0000}"/>
    <cellStyle name="Normal 9 2" xfId="7203" xr:uid="{00000000-0005-0000-0000-0000920B0000}"/>
    <cellStyle name="Normal 9 3" xfId="7204" xr:uid="{00000000-0005-0000-0000-0000930B0000}"/>
    <cellStyle name="Normal 9 3 2" xfId="9617" xr:uid="{00000000-0005-0000-0000-0000940B0000}"/>
    <cellStyle name="Normal Bold" xfId="1801" xr:uid="{00000000-0005-0000-0000-0000950B0000}"/>
    <cellStyle name="Normal Bold 2" xfId="1802" xr:uid="{00000000-0005-0000-0000-0000960B0000}"/>
    <cellStyle name="Normal Pct" xfId="1803" xr:uid="{00000000-0005-0000-0000-0000970B0000}"/>
    <cellStyle name="Normal Pct 2" xfId="1804" xr:uid="{00000000-0005-0000-0000-0000980B0000}"/>
    <cellStyle name="Normal Small" xfId="1805" xr:uid="{00000000-0005-0000-0000-0000990B0000}"/>
    <cellStyle name="normal1" xfId="1806" xr:uid="{00000000-0005-0000-0000-00009A0B0000}"/>
    <cellStyle name="normal1 2" xfId="7205" xr:uid="{00000000-0005-0000-0000-00009B0B0000}"/>
    <cellStyle name="Normal10pt" xfId="1807" xr:uid="{00000000-0005-0000-0000-00009C0B0000}"/>
    <cellStyle name="Normal2" xfId="1808" xr:uid="{00000000-0005-0000-0000-00009D0B0000}"/>
    <cellStyle name="Normal9pt" xfId="1809" xr:uid="{00000000-0005-0000-0000-00009E0B0000}"/>
    <cellStyle name="Normal9pt 2" xfId="7206" xr:uid="{00000000-0005-0000-0000-00009F0B0000}"/>
    <cellStyle name="NormalBold" xfId="1810" xr:uid="{00000000-0005-0000-0000-0000A00B0000}"/>
    <cellStyle name="NormalBold 2" xfId="1811" xr:uid="{00000000-0005-0000-0000-0000A10B0000}"/>
    <cellStyle name="NormalGB" xfId="1812" xr:uid="{00000000-0005-0000-0000-0000A20B0000}"/>
    <cellStyle name="Normal-HelBold" xfId="1813" xr:uid="{00000000-0005-0000-0000-0000A30B0000}"/>
    <cellStyle name="Normal-HelBold 2" xfId="1814" xr:uid="{00000000-0005-0000-0000-0000A40B0000}"/>
    <cellStyle name="Normal-HelUnderline" xfId="1815" xr:uid="{00000000-0005-0000-0000-0000A50B0000}"/>
    <cellStyle name="Normal-HelUnderline 2" xfId="1816" xr:uid="{00000000-0005-0000-0000-0000A60B0000}"/>
    <cellStyle name="Normal-Helvetica" xfId="1817" xr:uid="{00000000-0005-0000-0000-0000A70B0000}"/>
    <cellStyle name="Normal-Helvetica 2" xfId="1818" xr:uid="{00000000-0005-0000-0000-0000A80B0000}"/>
    <cellStyle name="NormalInput" xfId="1819" xr:uid="{00000000-0005-0000-0000-0000A90B0000}"/>
    <cellStyle name="Normalny_laroux" xfId="1820" xr:uid="{00000000-0005-0000-0000-0000AA0B0000}"/>
    <cellStyle name="Nosso" xfId="7207" xr:uid="{00000000-0005-0000-0000-0000AB0B0000}"/>
    <cellStyle name="Nota 2" xfId="39" xr:uid="{00000000-0005-0000-0000-0000AC0B0000}"/>
    <cellStyle name="Nota 2 2" xfId="7208" xr:uid="{00000000-0005-0000-0000-0000AD0B0000}"/>
    <cellStyle name="Nota 2 2 2" xfId="7209" xr:uid="{00000000-0005-0000-0000-0000AE0B0000}"/>
    <cellStyle name="Nota 2 3" xfId="7210" xr:uid="{00000000-0005-0000-0000-0000AF0B0000}"/>
    <cellStyle name="Nota 2 4" xfId="7211" xr:uid="{00000000-0005-0000-0000-0000B00B0000}"/>
    <cellStyle name="Nota 2 5" xfId="1821" xr:uid="{00000000-0005-0000-0000-0000B10B0000}"/>
    <cellStyle name="Nota 3" xfId="6237" xr:uid="{00000000-0005-0000-0000-0000B20B0000}"/>
    <cellStyle name="Nota 3 2" xfId="7212" xr:uid="{00000000-0005-0000-0000-0000B30B0000}"/>
    <cellStyle name="Nota 3 3" xfId="7213" xr:uid="{00000000-0005-0000-0000-0000B40B0000}"/>
    <cellStyle name="Nota 4" xfId="7214" xr:uid="{00000000-0005-0000-0000-0000B50B0000}"/>
    <cellStyle name="Nota 4 2" xfId="7215" xr:uid="{00000000-0005-0000-0000-0000B60B0000}"/>
    <cellStyle name="Nota 5" xfId="6255" xr:uid="{00000000-0005-0000-0000-0000B70B0000}"/>
    <cellStyle name="Nota 5 2" xfId="9618" xr:uid="{00000000-0005-0000-0000-0000B80B0000}"/>
    <cellStyle name="Note" xfId="1822" xr:uid="{00000000-0005-0000-0000-0000B90B0000}"/>
    <cellStyle name="Note 2" xfId="1823" xr:uid="{00000000-0005-0000-0000-0000BA0B0000}"/>
    <cellStyle name="Note 2 2" xfId="7216" xr:uid="{00000000-0005-0000-0000-0000BB0B0000}"/>
    <cellStyle name="Note 3" xfId="7217" xr:uid="{00000000-0005-0000-0000-0000BC0B0000}"/>
    <cellStyle name="NPPESalesPct" xfId="1824" xr:uid="{00000000-0005-0000-0000-0000BD0B0000}"/>
    <cellStyle name="NPPESalesPct 2" xfId="1825" xr:uid="{00000000-0005-0000-0000-0000BE0B0000}"/>
    <cellStyle name="Num_Normal" xfId="1826" xr:uid="{00000000-0005-0000-0000-0000BF0B0000}"/>
    <cellStyle name="Number0" xfId="1827" xr:uid="{00000000-0005-0000-0000-0000C00B0000}"/>
    <cellStyle name="Number1" xfId="1828" xr:uid="{00000000-0005-0000-0000-0000C10B0000}"/>
    <cellStyle name="Number1-" xfId="1829" xr:uid="{00000000-0005-0000-0000-0000C20B0000}"/>
    <cellStyle name="Number1_Q2 pipeline" xfId="1830" xr:uid="{00000000-0005-0000-0000-0000C30B0000}"/>
    <cellStyle name="Number1-_Q2 pipeline" xfId="1831" xr:uid="{00000000-0005-0000-0000-0000C40B0000}"/>
    <cellStyle name="Number1_Q2 pipeline 10" xfId="7218" xr:uid="{00000000-0005-0000-0000-0000C50B0000}"/>
    <cellStyle name="Number1-_Q2 pipeline 10" xfId="7219" xr:uid="{00000000-0005-0000-0000-0000C60B0000}"/>
    <cellStyle name="Number1_Q2 pipeline 11" xfId="7220" xr:uid="{00000000-0005-0000-0000-0000C70B0000}"/>
    <cellStyle name="Number1-_Q2 pipeline 11" xfId="7221" xr:uid="{00000000-0005-0000-0000-0000C80B0000}"/>
    <cellStyle name="Number1_Q2 pipeline 2" xfId="7222" xr:uid="{00000000-0005-0000-0000-0000C90B0000}"/>
    <cellStyle name="Number1-_Q2 pipeline 2" xfId="7223" xr:uid="{00000000-0005-0000-0000-0000CA0B0000}"/>
    <cellStyle name="Number1_Q2 pipeline 3" xfId="7224" xr:uid="{00000000-0005-0000-0000-0000CB0B0000}"/>
    <cellStyle name="Number1-_Q2 pipeline 3" xfId="7225" xr:uid="{00000000-0005-0000-0000-0000CC0B0000}"/>
    <cellStyle name="Number1_Q2 pipeline 4" xfId="7226" xr:uid="{00000000-0005-0000-0000-0000CD0B0000}"/>
    <cellStyle name="Number1-_Q2 pipeline 4" xfId="7227" xr:uid="{00000000-0005-0000-0000-0000CE0B0000}"/>
    <cellStyle name="Number1_Q2 pipeline 5" xfId="7228" xr:uid="{00000000-0005-0000-0000-0000CF0B0000}"/>
    <cellStyle name="Number1-_Q2 pipeline 5" xfId="7229" xr:uid="{00000000-0005-0000-0000-0000D00B0000}"/>
    <cellStyle name="Number1_Q2 pipeline 6" xfId="7230" xr:uid="{00000000-0005-0000-0000-0000D10B0000}"/>
    <cellStyle name="Number1-_Q2 pipeline 6" xfId="7231" xr:uid="{00000000-0005-0000-0000-0000D20B0000}"/>
    <cellStyle name="Number1_Q2 pipeline 7" xfId="7232" xr:uid="{00000000-0005-0000-0000-0000D30B0000}"/>
    <cellStyle name="Number1-_Q2 pipeline 7" xfId="7233" xr:uid="{00000000-0005-0000-0000-0000D40B0000}"/>
    <cellStyle name="Number1_Q2 pipeline 8" xfId="7234" xr:uid="{00000000-0005-0000-0000-0000D50B0000}"/>
    <cellStyle name="Number1-_Q2 pipeline 8" xfId="7235" xr:uid="{00000000-0005-0000-0000-0000D60B0000}"/>
    <cellStyle name="Number1_Q2 pipeline 9" xfId="7236" xr:uid="{00000000-0005-0000-0000-0000D70B0000}"/>
    <cellStyle name="Number1-_Q2 pipeline 9" xfId="7237" xr:uid="{00000000-0005-0000-0000-0000D80B0000}"/>
    <cellStyle name="Number1_Q2 pipeline_Cópia de Modelo - Fluxo de Caixa Orcamento 09052009_V36_3" xfId="1832" xr:uid="{00000000-0005-0000-0000-0000D90B0000}"/>
    <cellStyle name="Number1-_Q2 pipeline_Cópia de Modelo - Fluxo de Caixa Orcamento 09052009_V36_3" xfId="1833" xr:uid="{00000000-0005-0000-0000-0000DA0B0000}"/>
    <cellStyle name="Number1_Q2 pipeline_Cópia de Modelo - Fluxo de Caixa Orcamento 09052009_V36_3 10" xfId="7238" xr:uid="{00000000-0005-0000-0000-0000DB0B0000}"/>
    <cellStyle name="Number1-_Q2 pipeline_Cópia de Modelo - Fluxo de Caixa Orcamento 09052009_V36_3 10" xfId="7239" xr:uid="{00000000-0005-0000-0000-0000DC0B0000}"/>
    <cellStyle name="Number1_Q2 pipeline_Cópia de Modelo - Fluxo de Caixa Orcamento 09052009_V36_3 11" xfId="7240" xr:uid="{00000000-0005-0000-0000-0000DD0B0000}"/>
    <cellStyle name="Number1-_Q2 pipeline_Cópia de Modelo - Fluxo de Caixa Orcamento 09052009_V36_3 11" xfId="7241" xr:uid="{00000000-0005-0000-0000-0000DE0B0000}"/>
    <cellStyle name="Number1_Q2 pipeline_Cópia de Modelo - Fluxo de Caixa Orcamento 09052009_V36_3 2" xfId="7242" xr:uid="{00000000-0005-0000-0000-0000DF0B0000}"/>
    <cellStyle name="Number1-_Q2 pipeline_Cópia de Modelo - Fluxo de Caixa Orcamento 09052009_V36_3 2" xfId="7243" xr:uid="{00000000-0005-0000-0000-0000E00B0000}"/>
    <cellStyle name="Number1_Q2 pipeline_Cópia de Modelo - Fluxo de Caixa Orcamento 09052009_V36_3 3" xfId="7244" xr:uid="{00000000-0005-0000-0000-0000E10B0000}"/>
    <cellStyle name="Number1-_Q2 pipeline_Cópia de Modelo - Fluxo de Caixa Orcamento 09052009_V36_3 3" xfId="7245" xr:uid="{00000000-0005-0000-0000-0000E20B0000}"/>
    <cellStyle name="Number1_Q2 pipeline_Cópia de Modelo - Fluxo de Caixa Orcamento 09052009_V36_3 4" xfId="7246" xr:uid="{00000000-0005-0000-0000-0000E30B0000}"/>
    <cellStyle name="Number1-_Q2 pipeline_Cópia de Modelo - Fluxo de Caixa Orcamento 09052009_V36_3 4" xfId="7247" xr:uid="{00000000-0005-0000-0000-0000E40B0000}"/>
    <cellStyle name="Number1_Q2 pipeline_Cópia de Modelo - Fluxo de Caixa Orcamento 09052009_V36_3 5" xfId="7248" xr:uid="{00000000-0005-0000-0000-0000E50B0000}"/>
    <cellStyle name="Number1-_Q2 pipeline_Cópia de Modelo - Fluxo de Caixa Orcamento 09052009_V36_3 5" xfId="7249" xr:uid="{00000000-0005-0000-0000-0000E60B0000}"/>
    <cellStyle name="Number1_Q2 pipeline_Cópia de Modelo - Fluxo de Caixa Orcamento 09052009_V36_3 6" xfId="7250" xr:uid="{00000000-0005-0000-0000-0000E70B0000}"/>
    <cellStyle name="Number1-_Q2 pipeline_Cópia de Modelo - Fluxo de Caixa Orcamento 09052009_V36_3 6" xfId="7251" xr:uid="{00000000-0005-0000-0000-0000E80B0000}"/>
    <cellStyle name="Number1_Q2 pipeline_Cópia de Modelo - Fluxo de Caixa Orcamento 09052009_V36_3 7" xfId="7252" xr:uid="{00000000-0005-0000-0000-0000E90B0000}"/>
    <cellStyle name="Number1-_Q2 pipeline_Cópia de Modelo - Fluxo de Caixa Orcamento 09052009_V36_3 7" xfId="7253" xr:uid="{00000000-0005-0000-0000-0000EA0B0000}"/>
    <cellStyle name="Number1_Q2 pipeline_Cópia de Modelo - Fluxo de Caixa Orcamento 09052009_V36_3 8" xfId="7254" xr:uid="{00000000-0005-0000-0000-0000EB0B0000}"/>
    <cellStyle name="Number1-_Q2 pipeline_Cópia de Modelo - Fluxo de Caixa Orcamento 09052009_V36_3 8" xfId="7255" xr:uid="{00000000-0005-0000-0000-0000EC0B0000}"/>
    <cellStyle name="Number1_Q2 pipeline_Cópia de Modelo - Fluxo de Caixa Orcamento 09052009_V36_3 9" xfId="7256" xr:uid="{00000000-0005-0000-0000-0000ED0B0000}"/>
    <cellStyle name="Number1-_Q2 pipeline_Cópia de Modelo - Fluxo de Caixa Orcamento 09052009_V36_3 9" xfId="7257" xr:uid="{00000000-0005-0000-0000-0000EE0B0000}"/>
    <cellStyle name="Number1_Q2 pipeline_Fluxo de Caixa Orcamento FINAL_13052009" xfId="1834" xr:uid="{00000000-0005-0000-0000-0000EF0B0000}"/>
    <cellStyle name="Number1-_Q2 pipeline_Fluxo de Caixa Orcamento FINAL_13052009" xfId="1835" xr:uid="{00000000-0005-0000-0000-0000F00B0000}"/>
    <cellStyle name="Number1_Q2 pipeline_Fluxo de Caixa Orcamento FINAL_13052009 10" xfId="7258" xr:uid="{00000000-0005-0000-0000-0000F10B0000}"/>
    <cellStyle name="Number1-_Q2 pipeline_Fluxo de Caixa Orcamento FINAL_13052009 10" xfId="7259" xr:uid="{00000000-0005-0000-0000-0000F20B0000}"/>
    <cellStyle name="Number1_Q2 pipeline_Fluxo de Caixa Orcamento FINAL_13052009 11" xfId="7260" xr:uid="{00000000-0005-0000-0000-0000F30B0000}"/>
    <cellStyle name="Number1-_Q2 pipeline_Fluxo de Caixa Orcamento FINAL_13052009 11" xfId="7261" xr:uid="{00000000-0005-0000-0000-0000F40B0000}"/>
    <cellStyle name="Number1_Q2 pipeline_Fluxo de Caixa Orcamento FINAL_13052009 2" xfId="7262" xr:uid="{00000000-0005-0000-0000-0000F50B0000}"/>
    <cellStyle name="Number1-_Q2 pipeline_Fluxo de Caixa Orcamento FINAL_13052009 2" xfId="7263" xr:uid="{00000000-0005-0000-0000-0000F60B0000}"/>
    <cellStyle name="Number1_Q2 pipeline_Fluxo de Caixa Orcamento FINAL_13052009 3" xfId="7264" xr:uid="{00000000-0005-0000-0000-0000F70B0000}"/>
    <cellStyle name="Number1-_Q2 pipeline_Fluxo de Caixa Orcamento FINAL_13052009 3" xfId="7265" xr:uid="{00000000-0005-0000-0000-0000F80B0000}"/>
    <cellStyle name="Number1_Q2 pipeline_Fluxo de Caixa Orcamento FINAL_13052009 4" xfId="7266" xr:uid="{00000000-0005-0000-0000-0000F90B0000}"/>
    <cellStyle name="Number1-_Q2 pipeline_Fluxo de Caixa Orcamento FINAL_13052009 4" xfId="7267" xr:uid="{00000000-0005-0000-0000-0000FA0B0000}"/>
    <cellStyle name="Number1_Q2 pipeline_Fluxo de Caixa Orcamento FINAL_13052009 5" xfId="7268" xr:uid="{00000000-0005-0000-0000-0000FB0B0000}"/>
    <cellStyle name="Number1-_Q2 pipeline_Fluxo de Caixa Orcamento FINAL_13052009 5" xfId="7269" xr:uid="{00000000-0005-0000-0000-0000FC0B0000}"/>
    <cellStyle name="Number1_Q2 pipeline_Fluxo de Caixa Orcamento FINAL_13052009 6" xfId="7270" xr:uid="{00000000-0005-0000-0000-0000FD0B0000}"/>
    <cellStyle name="Number1-_Q2 pipeline_Fluxo de Caixa Orcamento FINAL_13052009 6" xfId="7271" xr:uid="{00000000-0005-0000-0000-0000FE0B0000}"/>
    <cellStyle name="Number1_Q2 pipeline_Fluxo de Caixa Orcamento FINAL_13052009 7" xfId="7272" xr:uid="{00000000-0005-0000-0000-0000FF0B0000}"/>
    <cellStyle name="Number1-_Q2 pipeline_Fluxo de Caixa Orcamento FINAL_13052009 7" xfId="7273" xr:uid="{00000000-0005-0000-0000-0000000C0000}"/>
    <cellStyle name="Number1_Q2 pipeline_Fluxo de Caixa Orcamento FINAL_13052009 8" xfId="7274" xr:uid="{00000000-0005-0000-0000-0000010C0000}"/>
    <cellStyle name="Number1-_Q2 pipeline_Fluxo de Caixa Orcamento FINAL_13052009 8" xfId="7275" xr:uid="{00000000-0005-0000-0000-0000020C0000}"/>
    <cellStyle name="Number1_Q2 pipeline_Fluxo de Caixa Orcamento FINAL_13052009 9" xfId="7276" xr:uid="{00000000-0005-0000-0000-0000030C0000}"/>
    <cellStyle name="Number1-_Q2 pipeline_Fluxo de Caixa Orcamento FINAL_13052009 9" xfId="7277" xr:uid="{00000000-0005-0000-0000-0000040C0000}"/>
    <cellStyle name="Number1_Q2 pipeline_FM_dummyV4" xfId="1836" xr:uid="{00000000-0005-0000-0000-0000050C0000}"/>
    <cellStyle name="Number1-_Q2 pipeline_FM_dummyV4" xfId="1837" xr:uid="{00000000-0005-0000-0000-0000060C0000}"/>
    <cellStyle name="Number1_Q2 pipeline_lalur" xfId="1838" xr:uid="{00000000-0005-0000-0000-0000070C0000}"/>
    <cellStyle name="Number1-_Q2 pipeline_lalur" xfId="1839" xr:uid="{00000000-0005-0000-0000-0000080C0000}"/>
    <cellStyle name="Number1_Q2 pipeline_Leasing_V3" xfId="1840" xr:uid="{00000000-0005-0000-0000-0000090C0000}"/>
    <cellStyle name="Number1-_Q2 pipeline_Leasing_V3" xfId="1841" xr:uid="{00000000-0005-0000-0000-00000A0C0000}"/>
    <cellStyle name="Number1_Q2 pipeline_MODELO PDP III" xfId="1842" xr:uid="{00000000-0005-0000-0000-00000B0C0000}"/>
    <cellStyle name="Number1-_Q2 pipeline_MODELO PDP III" xfId="1843" xr:uid="{00000000-0005-0000-0000-00000C0C0000}"/>
    <cellStyle name="Number1_Q2 pipeline_ORÇ_2009" xfId="1844" xr:uid="{00000000-0005-0000-0000-00000D0C0000}"/>
    <cellStyle name="Number1-_Q2 pipeline_ORÇ_2009" xfId="1845" xr:uid="{00000000-0005-0000-0000-00000E0C0000}"/>
    <cellStyle name="Number1_Q2 pipeline_ORÇ_2009 10" xfId="7278" xr:uid="{00000000-0005-0000-0000-00000F0C0000}"/>
    <cellStyle name="Number1-_Q2 pipeline_ORÇ_2009 10" xfId="7279" xr:uid="{00000000-0005-0000-0000-0000100C0000}"/>
    <cellStyle name="Number1_Q2 pipeline_ORÇ_2009 11" xfId="7280" xr:uid="{00000000-0005-0000-0000-0000110C0000}"/>
    <cellStyle name="Number1-_Q2 pipeline_ORÇ_2009 11" xfId="7281" xr:uid="{00000000-0005-0000-0000-0000120C0000}"/>
    <cellStyle name="Number1_Q2 pipeline_ORÇ_2009 2" xfId="7282" xr:uid="{00000000-0005-0000-0000-0000130C0000}"/>
    <cellStyle name="Number1-_Q2 pipeline_ORÇ_2009 2" xfId="7283" xr:uid="{00000000-0005-0000-0000-0000140C0000}"/>
    <cellStyle name="Number1_Q2 pipeline_ORÇ_2009 3" xfId="7284" xr:uid="{00000000-0005-0000-0000-0000150C0000}"/>
    <cellStyle name="Number1-_Q2 pipeline_ORÇ_2009 3" xfId="7285" xr:uid="{00000000-0005-0000-0000-0000160C0000}"/>
    <cellStyle name="Number1_Q2 pipeline_ORÇ_2009 4" xfId="7286" xr:uid="{00000000-0005-0000-0000-0000170C0000}"/>
    <cellStyle name="Number1-_Q2 pipeline_ORÇ_2009 4" xfId="7287" xr:uid="{00000000-0005-0000-0000-0000180C0000}"/>
    <cellStyle name="Number1_Q2 pipeline_ORÇ_2009 5" xfId="7288" xr:uid="{00000000-0005-0000-0000-0000190C0000}"/>
    <cellStyle name="Number1-_Q2 pipeline_ORÇ_2009 5" xfId="7289" xr:uid="{00000000-0005-0000-0000-00001A0C0000}"/>
    <cellStyle name="Number1_Q2 pipeline_ORÇ_2009 6" xfId="7290" xr:uid="{00000000-0005-0000-0000-00001B0C0000}"/>
    <cellStyle name="Number1-_Q2 pipeline_ORÇ_2009 6" xfId="7291" xr:uid="{00000000-0005-0000-0000-00001C0C0000}"/>
    <cellStyle name="Number1_Q2 pipeline_ORÇ_2009 7" xfId="7292" xr:uid="{00000000-0005-0000-0000-00001D0C0000}"/>
    <cellStyle name="Number1-_Q2 pipeline_ORÇ_2009 7" xfId="7293" xr:uid="{00000000-0005-0000-0000-00001E0C0000}"/>
    <cellStyle name="Number1_Q2 pipeline_ORÇ_2009 8" xfId="7294" xr:uid="{00000000-0005-0000-0000-00001F0C0000}"/>
    <cellStyle name="Number1-_Q2 pipeline_ORÇ_2009 8" xfId="7295" xr:uid="{00000000-0005-0000-0000-0000200C0000}"/>
    <cellStyle name="Number1_Q2 pipeline_ORÇ_2009 9" xfId="7296" xr:uid="{00000000-0005-0000-0000-0000210C0000}"/>
    <cellStyle name="Number1-_Q2 pipeline_ORÇ_2009 9" xfId="7297" xr:uid="{00000000-0005-0000-0000-0000220C0000}"/>
    <cellStyle name="Number1_Q2 pipeline_Pasta2" xfId="1846" xr:uid="{00000000-0005-0000-0000-0000230C0000}"/>
    <cellStyle name="Number1-_Q2 pipeline_Pasta2" xfId="1847" xr:uid="{00000000-0005-0000-0000-0000240C0000}"/>
    <cellStyle name="Number1_Q2 pipeline_Pasta2 10" xfId="7298" xr:uid="{00000000-0005-0000-0000-0000250C0000}"/>
    <cellStyle name="Number1-_Q2 pipeline_Pasta2 10" xfId="7299" xr:uid="{00000000-0005-0000-0000-0000260C0000}"/>
    <cellStyle name="Number1_Q2 pipeline_Pasta2 11" xfId="7300" xr:uid="{00000000-0005-0000-0000-0000270C0000}"/>
    <cellStyle name="Number1-_Q2 pipeline_Pasta2 11" xfId="7301" xr:uid="{00000000-0005-0000-0000-0000280C0000}"/>
    <cellStyle name="Number1_Q2 pipeline_Pasta2 2" xfId="7302" xr:uid="{00000000-0005-0000-0000-0000290C0000}"/>
    <cellStyle name="Number1-_Q2 pipeline_Pasta2 2" xfId="7303" xr:uid="{00000000-0005-0000-0000-00002A0C0000}"/>
    <cellStyle name="Number1_Q2 pipeline_Pasta2 3" xfId="7304" xr:uid="{00000000-0005-0000-0000-00002B0C0000}"/>
    <cellStyle name="Number1-_Q2 pipeline_Pasta2 3" xfId="7305" xr:uid="{00000000-0005-0000-0000-00002C0C0000}"/>
    <cellStyle name="Number1_Q2 pipeline_Pasta2 4" xfId="7306" xr:uid="{00000000-0005-0000-0000-00002D0C0000}"/>
    <cellStyle name="Number1-_Q2 pipeline_Pasta2 4" xfId="7307" xr:uid="{00000000-0005-0000-0000-00002E0C0000}"/>
    <cellStyle name="Number1_Q2 pipeline_Pasta2 5" xfId="7308" xr:uid="{00000000-0005-0000-0000-00002F0C0000}"/>
    <cellStyle name="Number1-_Q2 pipeline_Pasta2 5" xfId="7309" xr:uid="{00000000-0005-0000-0000-0000300C0000}"/>
    <cellStyle name="Number1_Q2 pipeline_Pasta2 6" xfId="7310" xr:uid="{00000000-0005-0000-0000-0000310C0000}"/>
    <cellStyle name="Number1-_Q2 pipeline_Pasta2 6" xfId="7311" xr:uid="{00000000-0005-0000-0000-0000320C0000}"/>
    <cellStyle name="Number1_Q2 pipeline_Pasta2 7" xfId="7312" xr:uid="{00000000-0005-0000-0000-0000330C0000}"/>
    <cellStyle name="Number1-_Q2 pipeline_Pasta2 7" xfId="7313" xr:uid="{00000000-0005-0000-0000-0000340C0000}"/>
    <cellStyle name="Number1_Q2 pipeline_Pasta2 8" xfId="7314" xr:uid="{00000000-0005-0000-0000-0000350C0000}"/>
    <cellStyle name="Number1-_Q2 pipeline_Pasta2 8" xfId="7315" xr:uid="{00000000-0005-0000-0000-0000360C0000}"/>
    <cellStyle name="Number1_Q2 pipeline_Pasta2 9" xfId="7316" xr:uid="{00000000-0005-0000-0000-0000370C0000}"/>
    <cellStyle name="Number1-_Q2 pipeline_Pasta2 9" xfId="7317" xr:uid="{00000000-0005-0000-0000-0000380C0000}"/>
    <cellStyle name="Number2" xfId="1848" xr:uid="{00000000-0005-0000-0000-0000390C0000}"/>
    <cellStyle name="Number2-" xfId="1849" xr:uid="{00000000-0005-0000-0000-00003A0C0000}"/>
    <cellStyle name="Number2_Comparativo VP FIN v1_So 2008" xfId="7318" xr:uid="{00000000-0005-0000-0000-00003B0C0000}"/>
    <cellStyle name="Number2-_Q2 pipeline" xfId="1850" xr:uid="{00000000-0005-0000-0000-00003C0C0000}"/>
    <cellStyle name="NWI%S" xfId="1851" xr:uid="{00000000-0005-0000-0000-00003D0C0000}"/>
    <cellStyle name="NWI%S 2" xfId="1852" xr:uid="{00000000-0005-0000-0000-00003E0C0000}"/>
    <cellStyle name="Œ…‹æØ‚è [0.00]_GE 3 MINIMUM" xfId="1853" xr:uid="{00000000-0005-0000-0000-00003F0C0000}"/>
    <cellStyle name="Œ…‹æØ‚è_GE 3 MINIMUM" xfId="1854" xr:uid="{00000000-0005-0000-0000-0000400C0000}"/>
    <cellStyle name="orh" xfId="7319" xr:uid="{00000000-0005-0000-0000-0000410C0000}"/>
    <cellStyle name="outh America" xfId="1855" xr:uid="{00000000-0005-0000-0000-0000420C0000}"/>
    <cellStyle name="Output" xfId="1856" xr:uid="{00000000-0005-0000-0000-0000430C0000}"/>
    <cellStyle name="Output 2" xfId="1857" xr:uid="{00000000-0005-0000-0000-0000440C0000}"/>
    <cellStyle name="Output Amounts" xfId="1858" xr:uid="{00000000-0005-0000-0000-0000450C0000}"/>
    <cellStyle name="Output Column Headings" xfId="1859" xr:uid="{00000000-0005-0000-0000-0000460C0000}"/>
    <cellStyle name="Output Labels" xfId="1860" xr:uid="{00000000-0005-0000-0000-0000470C0000}"/>
    <cellStyle name="Output Line Items" xfId="1861" xr:uid="{00000000-0005-0000-0000-0000480C0000}"/>
    <cellStyle name="Output Report Heading" xfId="1862" xr:uid="{00000000-0005-0000-0000-0000490C0000}"/>
    <cellStyle name="Output Report Title" xfId="1863" xr:uid="{00000000-0005-0000-0000-00004A0C0000}"/>
    <cellStyle name="Output_Balanco Patrimonial" xfId="1864" xr:uid="{00000000-0005-0000-0000-00004B0C0000}"/>
    <cellStyle name="Output1_Back" xfId="1865" xr:uid="{00000000-0005-0000-0000-00004C0C0000}"/>
    <cellStyle name="p0" xfId="1866" xr:uid="{00000000-0005-0000-0000-00004D0C0000}"/>
    <cellStyle name="Page Number" xfId="1867" xr:uid="{00000000-0005-0000-0000-00004E0C0000}"/>
    <cellStyle name="pb_table_format_bottomonly" xfId="40" xr:uid="{00000000-0005-0000-0000-00004F0C0000}"/>
    <cellStyle name="per.style" xfId="7320" xr:uid="{00000000-0005-0000-0000-0000500C0000}"/>
    <cellStyle name="Percent %" xfId="1868" xr:uid="{00000000-0005-0000-0000-0000510C0000}"/>
    <cellStyle name="Percent % Long Underline" xfId="1869" xr:uid="{00000000-0005-0000-0000-0000520C0000}"/>
    <cellStyle name="Percent %_Empr-CP LP - 1º e 2º  trim-2001." xfId="1870" xr:uid="{00000000-0005-0000-0000-0000530C0000}"/>
    <cellStyle name="Percent (0)" xfId="1871" xr:uid="{00000000-0005-0000-0000-0000540C0000}"/>
    <cellStyle name="Percent (0) 2" xfId="1872" xr:uid="{00000000-0005-0000-0000-0000550C0000}"/>
    <cellStyle name="Percent [0]" xfId="1873" xr:uid="{00000000-0005-0000-0000-0000560C0000}"/>
    <cellStyle name="Percent [0] 2" xfId="1874" xr:uid="{00000000-0005-0000-0000-0000570C0000}"/>
    <cellStyle name="Percent [00]" xfId="1875" xr:uid="{00000000-0005-0000-0000-0000580C0000}"/>
    <cellStyle name="Percent [00] 2" xfId="7321" xr:uid="{00000000-0005-0000-0000-0000590C0000}"/>
    <cellStyle name="Percent [1]" xfId="1876" xr:uid="{00000000-0005-0000-0000-00005A0C0000}"/>
    <cellStyle name="Percent [1] 2" xfId="1877" xr:uid="{00000000-0005-0000-0000-00005B0C0000}"/>
    <cellStyle name="Percent [2]" xfId="1878" xr:uid="{00000000-0005-0000-0000-00005C0C0000}"/>
    <cellStyle name="Percent [2] 2" xfId="1879" xr:uid="{00000000-0005-0000-0000-00005D0C0000}"/>
    <cellStyle name="Percent 0.0%" xfId="1880" xr:uid="{00000000-0005-0000-0000-00005E0C0000}"/>
    <cellStyle name="Percent 0.0% Long Underline" xfId="1881" xr:uid="{00000000-0005-0000-0000-00005F0C0000}"/>
    <cellStyle name="Percent 0.0%_Empr-CP LP - 1º e 2º  trim-2001." xfId="1882" xr:uid="{00000000-0005-0000-0000-0000600C0000}"/>
    <cellStyle name="Percent 0.00%" xfId="1883" xr:uid="{00000000-0005-0000-0000-0000610C0000}"/>
    <cellStyle name="Percent 0.00% Long Underline" xfId="1884" xr:uid="{00000000-0005-0000-0000-0000620C0000}"/>
    <cellStyle name="Percent 0.00%_Empr-CP LP - 1º e 2º  trim-2001." xfId="1885" xr:uid="{00000000-0005-0000-0000-0000630C0000}"/>
    <cellStyle name="Percent 0.000%" xfId="1886" xr:uid="{00000000-0005-0000-0000-0000640C0000}"/>
    <cellStyle name="Percent 0.000% Long Underline" xfId="1887" xr:uid="{00000000-0005-0000-0000-0000650C0000}"/>
    <cellStyle name="Percent 0.000%_Empr-CP LP - 1º e 2º  trim-2001." xfId="1888" xr:uid="{00000000-0005-0000-0000-0000660C0000}"/>
    <cellStyle name="Percent 1" xfId="1889" xr:uid="{00000000-0005-0000-0000-0000670C0000}"/>
    <cellStyle name="Percent 10" xfId="7322" xr:uid="{00000000-0005-0000-0000-0000680C0000}"/>
    <cellStyle name="Percent 11" xfId="7323" xr:uid="{00000000-0005-0000-0000-0000690C0000}"/>
    <cellStyle name="Percent 2" xfId="1890" xr:uid="{00000000-0005-0000-0000-00006A0C0000}"/>
    <cellStyle name="Percent 2 2" xfId="7324" xr:uid="{00000000-0005-0000-0000-00006B0C0000}"/>
    <cellStyle name="percent 2 decimal" xfId="1891" xr:uid="{00000000-0005-0000-0000-00006C0C0000}"/>
    <cellStyle name="Percent 3" xfId="1892" xr:uid="{00000000-0005-0000-0000-00006D0C0000}"/>
    <cellStyle name="Percent 4" xfId="1893" xr:uid="{00000000-0005-0000-0000-00006E0C0000}"/>
    <cellStyle name="Percent 4 2" xfId="7325" xr:uid="{00000000-0005-0000-0000-00006F0C0000}"/>
    <cellStyle name="Percent 5" xfId="1894" xr:uid="{00000000-0005-0000-0000-0000700C0000}"/>
    <cellStyle name="Percent 5 2" xfId="7326" xr:uid="{00000000-0005-0000-0000-0000710C0000}"/>
    <cellStyle name="Percent 5 2 2" xfId="7327" xr:uid="{00000000-0005-0000-0000-0000720C0000}"/>
    <cellStyle name="Percent 5 3" xfId="7328" xr:uid="{00000000-0005-0000-0000-0000730C0000}"/>
    <cellStyle name="Percent 6" xfId="7329" xr:uid="{00000000-0005-0000-0000-0000740C0000}"/>
    <cellStyle name="Percent 7" xfId="7330" xr:uid="{00000000-0005-0000-0000-0000750C0000}"/>
    <cellStyle name="Percent 8" xfId="7331" xr:uid="{00000000-0005-0000-0000-0000760C0000}"/>
    <cellStyle name="Percent 9" xfId="7332" xr:uid="{00000000-0005-0000-0000-0000770C0000}"/>
    <cellStyle name="Percent_Account Detail" xfId="7333" xr:uid="{00000000-0005-0000-0000-0000780C0000}"/>
    <cellStyle name="percent0" xfId="1895" xr:uid="{00000000-0005-0000-0000-0000790C0000}"/>
    <cellStyle name="percent0 2" xfId="7334" xr:uid="{00000000-0005-0000-0000-00007A0C0000}"/>
    <cellStyle name="Percent-0.0%" xfId="1896" xr:uid="{00000000-0005-0000-0000-00007B0C0000}"/>
    <cellStyle name="percent1" xfId="1897" xr:uid="{00000000-0005-0000-0000-00007C0C0000}"/>
    <cellStyle name="percent1 2" xfId="7335" xr:uid="{00000000-0005-0000-0000-00007D0C0000}"/>
    <cellStyle name="PercentChange" xfId="1898" xr:uid="{00000000-0005-0000-0000-00007E0C0000}"/>
    <cellStyle name="Percent-no dec" xfId="1899" xr:uid="{00000000-0005-0000-0000-00007F0C0000}"/>
    <cellStyle name="PercentSales" xfId="1900" xr:uid="{00000000-0005-0000-0000-0000800C0000}"/>
    <cellStyle name="PercentSales 2" xfId="1901" xr:uid="{00000000-0005-0000-0000-0000810C0000}"/>
    <cellStyle name="Percentual" xfId="1902" xr:uid="{00000000-0005-0000-0000-0000820C0000}"/>
    <cellStyle name="Percentual[2]" xfId="1903" xr:uid="{00000000-0005-0000-0000-0000830C0000}"/>
    <cellStyle name="Percentual[2] 2" xfId="7336" xr:uid="{00000000-0005-0000-0000-0000840C0000}"/>
    <cellStyle name="Plain0Decimals" xfId="1904" xr:uid="{00000000-0005-0000-0000-0000850C0000}"/>
    <cellStyle name="PlainDollar" xfId="1905" xr:uid="{00000000-0005-0000-0000-0000860C0000}"/>
    <cellStyle name="Porcentagem" xfId="2" builtinId="5"/>
    <cellStyle name="Porcentagem 10" xfId="1906" xr:uid="{00000000-0005-0000-0000-0000880C0000}"/>
    <cellStyle name="Porcentagem 11" xfId="1907" xr:uid="{00000000-0005-0000-0000-0000890C0000}"/>
    <cellStyle name="Porcentagem 11 2" xfId="1908" xr:uid="{00000000-0005-0000-0000-00008A0C0000}"/>
    <cellStyle name="Porcentagem 11 2 2" xfId="9619" xr:uid="{00000000-0005-0000-0000-00008B0C0000}"/>
    <cellStyle name="Porcentagem 11 3" xfId="9620" xr:uid="{00000000-0005-0000-0000-00008C0C0000}"/>
    <cellStyle name="Porcentagem 12" xfId="1909" xr:uid="{00000000-0005-0000-0000-00008D0C0000}"/>
    <cellStyle name="Porcentagem 12 2" xfId="1910" xr:uid="{00000000-0005-0000-0000-00008E0C0000}"/>
    <cellStyle name="Porcentagem 12 2 2" xfId="9621" xr:uid="{00000000-0005-0000-0000-00008F0C0000}"/>
    <cellStyle name="Porcentagem 12 3" xfId="9622" xr:uid="{00000000-0005-0000-0000-0000900C0000}"/>
    <cellStyle name="Porcentagem 13" xfId="1911" xr:uid="{00000000-0005-0000-0000-0000910C0000}"/>
    <cellStyle name="Porcentagem 13 2" xfId="1912" xr:uid="{00000000-0005-0000-0000-0000920C0000}"/>
    <cellStyle name="Porcentagem 13 2 2" xfId="9623" xr:uid="{00000000-0005-0000-0000-0000930C0000}"/>
    <cellStyle name="Porcentagem 13 3" xfId="9624" xr:uid="{00000000-0005-0000-0000-0000940C0000}"/>
    <cellStyle name="Porcentagem 14" xfId="1913" xr:uid="{00000000-0005-0000-0000-0000950C0000}"/>
    <cellStyle name="Porcentagem 14 2" xfId="1914" xr:uid="{00000000-0005-0000-0000-0000960C0000}"/>
    <cellStyle name="Porcentagem 14 2 2" xfId="9625" xr:uid="{00000000-0005-0000-0000-0000970C0000}"/>
    <cellStyle name="Porcentagem 14 3" xfId="9626" xr:uid="{00000000-0005-0000-0000-0000980C0000}"/>
    <cellStyle name="Porcentagem 15" xfId="1915" xr:uid="{00000000-0005-0000-0000-0000990C0000}"/>
    <cellStyle name="Porcentagem 16" xfId="1916" xr:uid="{00000000-0005-0000-0000-00009A0C0000}"/>
    <cellStyle name="Porcentagem 17" xfId="7337" xr:uid="{00000000-0005-0000-0000-00009B0C0000}"/>
    <cellStyle name="Porcentagem 18" xfId="6227" xr:uid="{00000000-0005-0000-0000-00009C0C0000}"/>
    <cellStyle name="Porcentagem 18 2" xfId="9627" xr:uid="{00000000-0005-0000-0000-00009D0C0000}"/>
    <cellStyle name="Porcentagem 2" xfId="42" xr:uid="{00000000-0005-0000-0000-00009E0C0000}"/>
    <cellStyle name="Porcentagem 2 2" xfId="1917" xr:uid="{00000000-0005-0000-0000-00009F0C0000}"/>
    <cellStyle name="Porcentagem 2 2 2" xfId="9496" xr:uid="{00000000-0005-0000-0000-0000A00C0000}"/>
    <cellStyle name="Porcentagem 2 3" xfId="6284" xr:uid="{00000000-0005-0000-0000-0000A10C0000}"/>
    <cellStyle name="Porcentagem 2 3 2" xfId="9628" xr:uid="{00000000-0005-0000-0000-0000A20C0000}"/>
    <cellStyle name="Porcentagem 2 4" xfId="72" xr:uid="{00000000-0005-0000-0000-0000A30C0000}"/>
    <cellStyle name="Porcentagem 2 5" xfId="65" xr:uid="{00000000-0005-0000-0000-0000A40C0000}"/>
    <cellStyle name="Porcentagem 3" xfId="43" xr:uid="{00000000-0005-0000-0000-0000A50C0000}"/>
    <cellStyle name="Porcentagem 3 2" xfId="1919" xr:uid="{00000000-0005-0000-0000-0000A60C0000}"/>
    <cellStyle name="Porcentagem 3 2 2" xfId="1920" xr:uid="{00000000-0005-0000-0000-0000A70C0000}"/>
    <cellStyle name="Porcentagem 3 3" xfId="1921" xr:uid="{00000000-0005-0000-0000-0000A80C0000}"/>
    <cellStyle name="Porcentagem 3 4" xfId="1918" xr:uid="{00000000-0005-0000-0000-0000A90C0000}"/>
    <cellStyle name="Porcentagem 3 5" xfId="66" xr:uid="{00000000-0005-0000-0000-0000AA0C0000}"/>
    <cellStyle name="Porcentagem 4" xfId="41" xr:uid="{00000000-0005-0000-0000-0000AB0C0000}"/>
    <cellStyle name="Porcentagem 4 2" xfId="1923" xr:uid="{00000000-0005-0000-0000-0000AC0C0000}"/>
    <cellStyle name="Porcentagem 4 2 2" xfId="7338" xr:uid="{00000000-0005-0000-0000-0000AD0C0000}"/>
    <cellStyle name="Porcentagem 4 3" xfId="1924" xr:uid="{00000000-0005-0000-0000-0000AE0C0000}"/>
    <cellStyle name="Porcentagem 4 3 2" xfId="1925" xr:uid="{00000000-0005-0000-0000-0000AF0C0000}"/>
    <cellStyle name="Porcentagem 4 3 2 2" xfId="9629" xr:uid="{00000000-0005-0000-0000-0000B00C0000}"/>
    <cellStyle name="Porcentagem 4 3 3" xfId="9630" xr:uid="{00000000-0005-0000-0000-0000B10C0000}"/>
    <cellStyle name="Porcentagem 4 4" xfId="7339" xr:uid="{00000000-0005-0000-0000-0000B20C0000}"/>
    <cellStyle name="Porcentagem 4 5" xfId="7340" xr:uid="{00000000-0005-0000-0000-0000B30C0000}"/>
    <cellStyle name="Porcentagem 4 6" xfId="1922" xr:uid="{00000000-0005-0000-0000-0000B40C0000}"/>
    <cellStyle name="Porcentagem 5" xfId="60" xr:uid="{00000000-0005-0000-0000-0000B50C0000}"/>
    <cellStyle name="Porcentagem 5 2" xfId="7341" xr:uid="{00000000-0005-0000-0000-0000B60C0000}"/>
    <cellStyle name="Porcentagem 5 2 2" xfId="9631" xr:uid="{00000000-0005-0000-0000-0000B70C0000}"/>
    <cellStyle name="Porcentagem 5 3" xfId="1926" xr:uid="{00000000-0005-0000-0000-0000B80C0000}"/>
    <cellStyle name="Porcentagem 6" xfId="1927" xr:uid="{00000000-0005-0000-0000-0000B90C0000}"/>
    <cellStyle name="Porcentagem 6 2" xfId="1928" xr:uid="{00000000-0005-0000-0000-0000BA0C0000}"/>
    <cellStyle name="Porcentagem 7" xfId="1929" xr:uid="{00000000-0005-0000-0000-0000BB0C0000}"/>
    <cellStyle name="Porcentagem 7 2" xfId="1930" xr:uid="{00000000-0005-0000-0000-0000BC0C0000}"/>
    <cellStyle name="Porcentagem 8" xfId="1931" xr:uid="{00000000-0005-0000-0000-0000BD0C0000}"/>
    <cellStyle name="Porcentagem 8 2" xfId="1932" xr:uid="{00000000-0005-0000-0000-0000BE0C0000}"/>
    <cellStyle name="Porcentagem 8 2 2" xfId="1933" xr:uid="{00000000-0005-0000-0000-0000BF0C0000}"/>
    <cellStyle name="Porcentagem 8 2 2 2" xfId="1934" xr:uid="{00000000-0005-0000-0000-0000C00C0000}"/>
    <cellStyle name="Porcentagem 8 2 2 2 2" xfId="9632" xr:uid="{00000000-0005-0000-0000-0000C10C0000}"/>
    <cellStyle name="Porcentagem 8 2 2 3" xfId="9633" xr:uid="{00000000-0005-0000-0000-0000C20C0000}"/>
    <cellStyle name="Porcentagem 8 2 3" xfId="1935" xr:uid="{00000000-0005-0000-0000-0000C30C0000}"/>
    <cellStyle name="Porcentagem 8 2 3 2" xfId="9634" xr:uid="{00000000-0005-0000-0000-0000C40C0000}"/>
    <cellStyle name="Porcentagem 8 2 4" xfId="9635" xr:uid="{00000000-0005-0000-0000-0000C50C0000}"/>
    <cellStyle name="Porcentagem 8 3" xfId="1936" xr:uid="{00000000-0005-0000-0000-0000C60C0000}"/>
    <cellStyle name="Porcentagem 8 3 2" xfId="1937" xr:uid="{00000000-0005-0000-0000-0000C70C0000}"/>
    <cellStyle name="Porcentagem 8 3 2 2" xfId="9636" xr:uid="{00000000-0005-0000-0000-0000C80C0000}"/>
    <cellStyle name="Porcentagem 8 3 3" xfId="9637" xr:uid="{00000000-0005-0000-0000-0000C90C0000}"/>
    <cellStyle name="Porcentagem 8 4" xfId="1938" xr:uid="{00000000-0005-0000-0000-0000CA0C0000}"/>
    <cellStyle name="Porcentagem 8 4 2" xfId="9638" xr:uid="{00000000-0005-0000-0000-0000CB0C0000}"/>
    <cellStyle name="Porcentagem 8 5" xfId="9639" xr:uid="{00000000-0005-0000-0000-0000CC0C0000}"/>
    <cellStyle name="Porcentagem 9" xfId="1939" xr:uid="{00000000-0005-0000-0000-0000CD0C0000}"/>
    <cellStyle name="Porcentagem 9 2" xfId="1940" xr:uid="{00000000-0005-0000-0000-0000CE0C0000}"/>
    <cellStyle name="Porcentagem 9 2 2" xfId="1941" xr:uid="{00000000-0005-0000-0000-0000CF0C0000}"/>
    <cellStyle name="Porcentagem 9 2 2 2" xfId="9640" xr:uid="{00000000-0005-0000-0000-0000D00C0000}"/>
    <cellStyle name="Porcentagem 9 2 3" xfId="9641" xr:uid="{00000000-0005-0000-0000-0000D10C0000}"/>
    <cellStyle name="Porcentagem 9 3" xfId="1942" xr:uid="{00000000-0005-0000-0000-0000D20C0000}"/>
    <cellStyle name="Porcentagem 9 3 2" xfId="9642" xr:uid="{00000000-0005-0000-0000-0000D30C0000}"/>
    <cellStyle name="Porcentagem 9 4" xfId="9643" xr:uid="{00000000-0005-0000-0000-0000D40C0000}"/>
    <cellStyle name="Porcentaje" xfId="1943" xr:uid="{00000000-0005-0000-0000-0000D50C0000}"/>
    <cellStyle name="Pound" xfId="1944" xr:uid="{00000000-0005-0000-0000-0000D60C0000}"/>
    <cellStyle name="Pound [1]" xfId="1945" xr:uid="{00000000-0005-0000-0000-0000D70C0000}"/>
    <cellStyle name="Pound [2]" xfId="1946" xr:uid="{00000000-0005-0000-0000-0000D80C0000}"/>
    <cellStyle name="PrePop Currency (0)" xfId="1947" xr:uid="{00000000-0005-0000-0000-0000D90C0000}"/>
    <cellStyle name="PrePop Currency (0) 2" xfId="7342" xr:uid="{00000000-0005-0000-0000-0000DA0C0000}"/>
    <cellStyle name="PrePop Currency (2)" xfId="1948" xr:uid="{00000000-0005-0000-0000-0000DB0C0000}"/>
    <cellStyle name="PrePop Currency (2) 2" xfId="7343" xr:uid="{00000000-0005-0000-0000-0000DC0C0000}"/>
    <cellStyle name="PrePop Units (0)" xfId="1949" xr:uid="{00000000-0005-0000-0000-0000DD0C0000}"/>
    <cellStyle name="PrePop Units (0) 2" xfId="7344" xr:uid="{00000000-0005-0000-0000-0000DE0C0000}"/>
    <cellStyle name="PrePop Units (1)" xfId="1950" xr:uid="{00000000-0005-0000-0000-0000DF0C0000}"/>
    <cellStyle name="PrePop Units (1) 2" xfId="7345" xr:uid="{00000000-0005-0000-0000-0000E00C0000}"/>
    <cellStyle name="PrePop Units (2)" xfId="1951" xr:uid="{00000000-0005-0000-0000-0000E10C0000}"/>
    <cellStyle name="PrePop Units (2) 2" xfId="7346" xr:uid="{00000000-0005-0000-0000-0000E20C0000}"/>
    <cellStyle name="Price" xfId="1952" xr:uid="{00000000-0005-0000-0000-0000E30C0000}"/>
    <cellStyle name="Price 2" xfId="1953" xr:uid="{00000000-0005-0000-0000-0000E40C0000}"/>
    <cellStyle name="Produtos" xfId="1954" xr:uid="{00000000-0005-0000-0000-0000E50C0000}"/>
    <cellStyle name="Projeções" xfId="1955" xr:uid="{00000000-0005-0000-0000-0000E60C0000}"/>
    <cellStyle name="PSChar" xfId="1956" xr:uid="{00000000-0005-0000-0000-0000E70C0000}"/>
    <cellStyle name="PSDate" xfId="1957" xr:uid="{00000000-0005-0000-0000-0000E80C0000}"/>
    <cellStyle name="PSDec" xfId="1958" xr:uid="{00000000-0005-0000-0000-0000E90C0000}"/>
    <cellStyle name="PSHeading" xfId="1959" xr:uid="{00000000-0005-0000-0000-0000EA0C0000}"/>
    <cellStyle name="PSHeading 2" xfId="1960" xr:uid="{00000000-0005-0000-0000-0000EB0C0000}"/>
    <cellStyle name="PSInt" xfId="1961" xr:uid="{00000000-0005-0000-0000-0000EC0C0000}"/>
    <cellStyle name="PSSpacer" xfId="1962" xr:uid="{00000000-0005-0000-0000-0000ED0C0000}"/>
    <cellStyle name="pt" xfId="1963" xr:uid="{00000000-0005-0000-0000-0000EE0C0000}"/>
    <cellStyle name="Punto0" xfId="1964" xr:uid="{00000000-0005-0000-0000-0000EF0C0000}"/>
    <cellStyle name="Punto0 - Estilo6" xfId="1965" xr:uid="{00000000-0005-0000-0000-0000F00C0000}"/>
    <cellStyle name="Quantidade" xfId="1966" xr:uid="{00000000-0005-0000-0000-0000F10C0000}"/>
    <cellStyle name="Quantidade 2" xfId="7347" xr:uid="{00000000-0005-0000-0000-0000F20C0000}"/>
    <cellStyle name="QuantidadeSaldo" xfId="1967" xr:uid="{00000000-0005-0000-0000-0000F30C0000}"/>
    <cellStyle name="QuantidadeSaldo 2" xfId="7348" xr:uid="{00000000-0005-0000-0000-0000F40C0000}"/>
    <cellStyle name="QuantidadeSaldo1" xfId="1968" xr:uid="{00000000-0005-0000-0000-0000F50C0000}"/>
    <cellStyle name="r0" xfId="1969" xr:uid="{00000000-0005-0000-0000-0000F60C0000}"/>
    <cellStyle name="RatioX" xfId="1970" xr:uid="{00000000-0005-0000-0000-0000F70C0000}"/>
    <cellStyle name="Red" xfId="1971" xr:uid="{00000000-0005-0000-0000-0000F80C0000}"/>
    <cellStyle name="Red font" xfId="1972" xr:uid="{00000000-0005-0000-0000-0000F90C0000}"/>
    <cellStyle name="Red font 2" xfId="1973" xr:uid="{00000000-0005-0000-0000-0000FA0C0000}"/>
    <cellStyle name="Red Text" xfId="1974" xr:uid="{00000000-0005-0000-0000-0000FB0C0000}"/>
    <cellStyle name="Regular" xfId="1975" xr:uid="{00000000-0005-0000-0000-0000FC0C0000}"/>
    <cellStyle name="Regular 2" xfId="7349" xr:uid="{00000000-0005-0000-0000-0000FD0C0000}"/>
    <cellStyle name="RevList" xfId="7350" xr:uid="{00000000-0005-0000-0000-0000FE0C0000}"/>
    <cellStyle name="rh" xfId="7351" xr:uid="{00000000-0005-0000-0000-0000FF0C0000}"/>
    <cellStyle name="ri" xfId="1976" xr:uid="{00000000-0005-0000-0000-0000000D0000}"/>
    <cellStyle name="Right" xfId="1977" xr:uid="{00000000-0005-0000-0000-0000010D0000}"/>
    <cellStyle name="RM" xfId="1978" xr:uid="{00000000-0005-0000-0000-0000020D0000}"/>
    <cellStyle name="Roadrunner" xfId="1979" xr:uid="{00000000-0005-0000-0000-0000030D0000}"/>
    <cellStyle name="Roadrunner 2" xfId="1980" xr:uid="{00000000-0005-0000-0000-0000040D0000}"/>
    <cellStyle name="rodape" xfId="1981" xr:uid="{00000000-0005-0000-0000-0000050D0000}"/>
    <cellStyle name="s" xfId="1982" xr:uid="{00000000-0005-0000-0000-0000060D0000}"/>
    <cellStyle name="s_Acc (Dil) Matrix (2)" xfId="1983" xr:uid="{00000000-0005-0000-0000-0000070D0000}"/>
    <cellStyle name="s_Acc (Dil) Matrix (2)_1" xfId="1984" xr:uid="{00000000-0005-0000-0000-0000080D0000}"/>
    <cellStyle name="s_Acc (Dil) Matrix (2)_1_Comparativo VP FIN v1_So 2008" xfId="7352" xr:uid="{00000000-0005-0000-0000-0000090D0000}"/>
    <cellStyle name="s_Acc (Dil) Matrix (2)_1_Comparativo VP MKT 2008 v1_So 2008" xfId="7353" xr:uid="{00000000-0005-0000-0000-00000A0D0000}"/>
    <cellStyle name="s_Acc (Dil) Matrix (2)_1_Comparativo VP TEC 2008 v1_So 2008" xfId="7354" xr:uid="{00000000-0005-0000-0000-00000B0D0000}"/>
    <cellStyle name="s_Acc (Dil) Matrix (2)_1_Comparativo VP TEC 2008_Luiz Sergio" xfId="7355" xr:uid="{00000000-0005-0000-0000-00000C0D0000}"/>
    <cellStyle name="s_Acc (Dil) Matrix (2)_1_Cópia de Modelo - Fluxo de Caixa Orcamento 09052009_V36_3" xfId="1985" xr:uid="{00000000-0005-0000-0000-00000D0D0000}"/>
    <cellStyle name="s_Acc (Dil) Matrix (2)_1_Fluxo de Caixa Orcamento FINAL_13052009" xfId="1986" xr:uid="{00000000-0005-0000-0000-00000E0D0000}"/>
    <cellStyle name="s_Acc (Dil) Matrix (2)_1_FM_dummyV4" xfId="1987" xr:uid="{00000000-0005-0000-0000-00000F0D0000}"/>
    <cellStyle name="s_Acc (Dil) Matrix (2)_1_lalur" xfId="1988" xr:uid="{00000000-0005-0000-0000-0000100D0000}"/>
    <cellStyle name="s_Acc (Dil) Matrix (2)_1_Leasing_V3" xfId="1989" xr:uid="{00000000-0005-0000-0000-0000110D0000}"/>
    <cellStyle name="s_Acc (Dil) Matrix (2)_1_MODELO PDP III" xfId="1990" xr:uid="{00000000-0005-0000-0000-0000120D0000}"/>
    <cellStyle name="s_Acc (Dil) Matrix (2)_1_ORÇ_2009" xfId="1991" xr:uid="{00000000-0005-0000-0000-0000130D0000}"/>
    <cellStyle name="s_Acc (Dil) Matrix (2)_1_Pasta2" xfId="1992" xr:uid="{00000000-0005-0000-0000-0000140D0000}"/>
    <cellStyle name="s_Acc (Dil) Matrix (2)_2" xfId="1993" xr:uid="{00000000-0005-0000-0000-0000150D0000}"/>
    <cellStyle name="s_Acc (Dil) Matrix (2)_2_Celtic DCF" xfId="1994" xr:uid="{00000000-0005-0000-0000-0000160D0000}"/>
    <cellStyle name="s_Acc (Dil) Matrix (2)_2_Celtic DCF Inputs" xfId="1995" xr:uid="{00000000-0005-0000-0000-0000170D0000}"/>
    <cellStyle name="s_Acc (Dil) Matrix (2)_2_Celtic DCF Inputs_Comparativo VP FIN v1_So 2008" xfId="7356" xr:uid="{00000000-0005-0000-0000-0000180D0000}"/>
    <cellStyle name="s_Acc (Dil) Matrix (2)_2_Celtic DCF Inputs_Comparativo VP MKT 2008 v1_So 2008" xfId="7357" xr:uid="{00000000-0005-0000-0000-0000190D0000}"/>
    <cellStyle name="s_Acc (Dil) Matrix (2)_2_Celtic DCF Inputs_Comparativo VP TEC 2008 v1_So 2008" xfId="7358" xr:uid="{00000000-0005-0000-0000-00001A0D0000}"/>
    <cellStyle name="s_Acc (Dil) Matrix (2)_2_Celtic DCF Inputs_Comparativo VP TEC 2008_Luiz Sergio" xfId="7359" xr:uid="{00000000-0005-0000-0000-00001B0D0000}"/>
    <cellStyle name="s_Acc (Dil) Matrix (2)_2_Celtic DCF Inputs_Cópia de Modelo - Fluxo de Caixa Orcamento 09052009_V36_3" xfId="1996" xr:uid="{00000000-0005-0000-0000-00001C0D0000}"/>
    <cellStyle name="s_Acc (Dil) Matrix (2)_2_Celtic DCF Inputs_Fluxo de Caixa Orcamento FINAL_13052009" xfId="1997" xr:uid="{00000000-0005-0000-0000-00001D0D0000}"/>
    <cellStyle name="s_Acc (Dil) Matrix (2)_2_Celtic DCF Inputs_FM_dummyV4" xfId="1998" xr:uid="{00000000-0005-0000-0000-00001E0D0000}"/>
    <cellStyle name="s_Acc (Dil) Matrix (2)_2_Celtic DCF Inputs_lalur" xfId="1999" xr:uid="{00000000-0005-0000-0000-00001F0D0000}"/>
    <cellStyle name="s_Acc (Dil) Matrix (2)_2_Celtic DCF Inputs_Leasing_V3" xfId="2000" xr:uid="{00000000-0005-0000-0000-0000200D0000}"/>
    <cellStyle name="s_Acc (Dil) Matrix (2)_2_Celtic DCF Inputs_MODELO PDP III" xfId="2001" xr:uid="{00000000-0005-0000-0000-0000210D0000}"/>
    <cellStyle name="s_Acc (Dil) Matrix (2)_2_Celtic DCF Inputs_ORÇ_2009" xfId="2002" xr:uid="{00000000-0005-0000-0000-0000220D0000}"/>
    <cellStyle name="s_Acc (Dil) Matrix (2)_2_Celtic DCF Inputs_Pasta2" xfId="2003" xr:uid="{00000000-0005-0000-0000-0000230D0000}"/>
    <cellStyle name="s_Acc (Dil) Matrix (2)_2_Celtic DCF_Comparativo VP FIN v1_So 2008" xfId="7360" xr:uid="{00000000-0005-0000-0000-0000240D0000}"/>
    <cellStyle name="s_Acc (Dil) Matrix (2)_2_Celtic DCF_Comparativo VP MKT 2008 v1_So 2008" xfId="7361" xr:uid="{00000000-0005-0000-0000-0000250D0000}"/>
    <cellStyle name="s_Acc (Dil) Matrix (2)_2_Celtic DCF_Comparativo VP TEC 2008 v1_So 2008" xfId="7362" xr:uid="{00000000-0005-0000-0000-0000260D0000}"/>
    <cellStyle name="s_Acc (Dil) Matrix (2)_2_Celtic DCF_Comparativo VP TEC 2008_Luiz Sergio" xfId="7363" xr:uid="{00000000-0005-0000-0000-0000270D0000}"/>
    <cellStyle name="s_Acc (Dil) Matrix (2)_2_Celtic DCF_Cópia de Modelo - Fluxo de Caixa Orcamento 09052009_V36_3" xfId="2004" xr:uid="{00000000-0005-0000-0000-0000280D0000}"/>
    <cellStyle name="s_Acc (Dil) Matrix (2)_2_Celtic DCF_Fluxo de Caixa Orcamento FINAL_13052009" xfId="2005" xr:uid="{00000000-0005-0000-0000-0000290D0000}"/>
    <cellStyle name="s_Acc (Dil) Matrix (2)_2_Celtic DCF_FM_dummyV4" xfId="2006" xr:uid="{00000000-0005-0000-0000-00002A0D0000}"/>
    <cellStyle name="s_Acc (Dil) Matrix (2)_2_Celtic DCF_lalur" xfId="2007" xr:uid="{00000000-0005-0000-0000-00002B0D0000}"/>
    <cellStyle name="s_Acc (Dil) Matrix (2)_2_Celtic DCF_Leasing_V3" xfId="2008" xr:uid="{00000000-0005-0000-0000-00002C0D0000}"/>
    <cellStyle name="s_Acc (Dil) Matrix (2)_2_Celtic DCF_MODELO PDP III" xfId="2009" xr:uid="{00000000-0005-0000-0000-00002D0D0000}"/>
    <cellStyle name="s_Acc (Dil) Matrix (2)_2_Celtic DCF_ORÇ_2009" xfId="2010" xr:uid="{00000000-0005-0000-0000-00002E0D0000}"/>
    <cellStyle name="s_Acc (Dil) Matrix (2)_2_Celtic DCF_Pasta2" xfId="2011" xr:uid="{00000000-0005-0000-0000-00002F0D0000}"/>
    <cellStyle name="s_Acc (Dil) Matrix (2)_2_Comparativo VP FIN v1_So 2008" xfId="7364" xr:uid="{00000000-0005-0000-0000-0000300D0000}"/>
    <cellStyle name="s_Acc (Dil) Matrix (2)_2_Comparativo VP MKT 2008 v1_So 2008" xfId="7365" xr:uid="{00000000-0005-0000-0000-0000310D0000}"/>
    <cellStyle name="s_Acc (Dil) Matrix (2)_2_Comparativo VP TEC 2008 v1_So 2008" xfId="7366" xr:uid="{00000000-0005-0000-0000-0000320D0000}"/>
    <cellStyle name="s_Acc (Dil) Matrix (2)_2_Comparativo VP TEC 2008_Luiz Sergio" xfId="7367" xr:uid="{00000000-0005-0000-0000-0000330D0000}"/>
    <cellStyle name="s_Acc (Dil) Matrix (2)_2_Cópia de Modelo - Fluxo de Caixa Orcamento 09052009_V36_3" xfId="2012" xr:uid="{00000000-0005-0000-0000-0000340D0000}"/>
    <cellStyle name="s_Acc (Dil) Matrix (2)_2_Fluxo de Caixa Orcamento FINAL_13052009" xfId="2013" xr:uid="{00000000-0005-0000-0000-0000350D0000}"/>
    <cellStyle name="s_Acc (Dil) Matrix (2)_2_FM_dummyV4" xfId="2014" xr:uid="{00000000-0005-0000-0000-0000360D0000}"/>
    <cellStyle name="s_Acc (Dil) Matrix (2)_2_lalur" xfId="2015" xr:uid="{00000000-0005-0000-0000-0000370D0000}"/>
    <cellStyle name="s_Acc (Dil) Matrix (2)_2_Leasing_V3" xfId="2016" xr:uid="{00000000-0005-0000-0000-0000380D0000}"/>
    <cellStyle name="s_Acc (Dil) Matrix (2)_2_MODELO PDP III" xfId="2017" xr:uid="{00000000-0005-0000-0000-0000390D0000}"/>
    <cellStyle name="s_Acc (Dil) Matrix (2)_2_ORÇ_2009" xfId="2018" xr:uid="{00000000-0005-0000-0000-00003A0D0000}"/>
    <cellStyle name="s_Acc (Dil) Matrix (2)_2_Pasta2" xfId="2019" xr:uid="{00000000-0005-0000-0000-00003B0D0000}"/>
    <cellStyle name="s_Acc (Dil) Matrix (2)_2_Valuation Summary" xfId="2020" xr:uid="{00000000-0005-0000-0000-00003C0D0000}"/>
    <cellStyle name="s_Acc (Dil) Matrix (2)_2_Valuation Summary_Comparativo VP FIN v1_So 2008" xfId="7368" xr:uid="{00000000-0005-0000-0000-00003D0D0000}"/>
    <cellStyle name="s_Acc (Dil) Matrix (2)_2_Valuation Summary_Comparativo VP MKT 2008 v1_So 2008" xfId="7369" xr:uid="{00000000-0005-0000-0000-00003E0D0000}"/>
    <cellStyle name="s_Acc (Dil) Matrix (2)_2_Valuation Summary_Comparativo VP TEC 2008 v1_So 2008" xfId="7370" xr:uid="{00000000-0005-0000-0000-00003F0D0000}"/>
    <cellStyle name="s_Acc (Dil) Matrix (2)_2_Valuation Summary_Comparativo VP TEC 2008_Luiz Sergio" xfId="7371" xr:uid="{00000000-0005-0000-0000-0000400D0000}"/>
    <cellStyle name="s_Acc (Dil) Matrix (2)_2_Valuation Summary_Cópia de Modelo - Fluxo de Caixa Orcamento 09052009_V36_3" xfId="2021" xr:uid="{00000000-0005-0000-0000-0000410D0000}"/>
    <cellStyle name="s_Acc (Dil) Matrix (2)_2_Valuation Summary_Fluxo de Caixa Orcamento FINAL_13052009" xfId="2022" xr:uid="{00000000-0005-0000-0000-0000420D0000}"/>
    <cellStyle name="s_Acc (Dil) Matrix (2)_2_Valuation Summary_FM_dummyV4" xfId="2023" xr:uid="{00000000-0005-0000-0000-0000430D0000}"/>
    <cellStyle name="s_Acc (Dil) Matrix (2)_2_Valuation Summary_lalur" xfId="2024" xr:uid="{00000000-0005-0000-0000-0000440D0000}"/>
    <cellStyle name="s_Acc (Dil) Matrix (2)_2_Valuation Summary_Leasing_V3" xfId="2025" xr:uid="{00000000-0005-0000-0000-0000450D0000}"/>
    <cellStyle name="s_Acc (Dil) Matrix (2)_2_Valuation Summary_MODELO PDP III" xfId="2026" xr:uid="{00000000-0005-0000-0000-0000460D0000}"/>
    <cellStyle name="s_Acc (Dil) Matrix (2)_2_Valuation Summary_ORÇ_2009" xfId="2027" xr:uid="{00000000-0005-0000-0000-0000470D0000}"/>
    <cellStyle name="s_Acc (Dil) Matrix (2)_2_Valuation Summary_Pasta2" xfId="2028" xr:uid="{00000000-0005-0000-0000-0000480D0000}"/>
    <cellStyle name="s_Acc (Dil) Matrix (2)_Comparativo VP FIN v1_So 2008" xfId="7372" xr:uid="{00000000-0005-0000-0000-0000490D0000}"/>
    <cellStyle name="s_Acc (Dil) Matrix (2)_Comparativo VP MKT 2008 v1_So 2008" xfId="7373" xr:uid="{00000000-0005-0000-0000-00004A0D0000}"/>
    <cellStyle name="s_Acc (Dil) Matrix (2)_Comparativo VP TEC 2008 v1_So 2008" xfId="7374" xr:uid="{00000000-0005-0000-0000-00004B0D0000}"/>
    <cellStyle name="s_Acc (Dil) Matrix (2)_Comparativo VP TEC 2008_Luiz Sergio" xfId="7375" xr:uid="{00000000-0005-0000-0000-00004C0D0000}"/>
    <cellStyle name="s_Acc (Dil) Matrix (2)_Cópia de Modelo - Fluxo de Caixa Orcamento 09052009_V36_3" xfId="2029" xr:uid="{00000000-0005-0000-0000-00004D0D0000}"/>
    <cellStyle name="s_Acc (Dil) Matrix (2)_Fluxo de Caixa Orcamento FINAL_13052009" xfId="2030" xr:uid="{00000000-0005-0000-0000-00004E0D0000}"/>
    <cellStyle name="s_Acc (Dil) Matrix (2)_FM_dummyV4" xfId="2031" xr:uid="{00000000-0005-0000-0000-00004F0D0000}"/>
    <cellStyle name="s_Acc (Dil) Matrix (2)_lalur" xfId="2032" xr:uid="{00000000-0005-0000-0000-0000500D0000}"/>
    <cellStyle name="s_Acc (Dil) Matrix (2)_Leasing_V3" xfId="2033" xr:uid="{00000000-0005-0000-0000-0000510D0000}"/>
    <cellStyle name="s_Acc (Dil) Matrix (2)_MODELO PDP III" xfId="2034" xr:uid="{00000000-0005-0000-0000-0000520D0000}"/>
    <cellStyle name="s_Acc (Dil) Matrix (2)_ORÇ_2009" xfId="2035" xr:uid="{00000000-0005-0000-0000-0000530D0000}"/>
    <cellStyle name="s_Acc (Dil) Matrix (2)_Pasta2" xfId="2036" xr:uid="{00000000-0005-0000-0000-0000540D0000}"/>
    <cellStyle name="s_Ariz_Nevada (2)" xfId="2037" xr:uid="{00000000-0005-0000-0000-0000550D0000}"/>
    <cellStyle name="s_Ariz_Nevada (2)_1" xfId="2038" xr:uid="{00000000-0005-0000-0000-0000560D0000}"/>
    <cellStyle name="s_Ariz_Nevada (2)_1_Comparativo VP FIN v1_So 2008" xfId="7376" xr:uid="{00000000-0005-0000-0000-0000570D0000}"/>
    <cellStyle name="s_Ariz_Nevada (2)_1_Comparativo VP MKT 2008 v1_So 2008" xfId="7377" xr:uid="{00000000-0005-0000-0000-0000580D0000}"/>
    <cellStyle name="s_Ariz_Nevada (2)_1_Comparativo VP TEC 2008 v1_So 2008" xfId="7378" xr:uid="{00000000-0005-0000-0000-0000590D0000}"/>
    <cellStyle name="s_Ariz_Nevada (2)_1_Comparativo VP TEC 2008_Luiz Sergio" xfId="7379" xr:uid="{00000000-0005-0000-0000-00005A0D0000}"/>
    <cellStyle name="s_Ariz_Nevada (2)_1_Cópia de Modelo - Fluxo de Caixa Orcamento 09052009_V36_3" xfId="2039" xr:uid="{00000000-0005-0000-0000-00005B0D0000}"/>
    <cellStyle name="s_Ariz_Nevada (2)_1_Fluxo de Caixa Orcamento FINAL_13052009" xfId="2040" xr:uid="{00000000-0005-0000-0000-00005C0D0000}"/>
    <cellStyle name="s_Ariz_Nevada (2)_1_FM_dummyV4" xfId="2041" xr:uid="{00000000-0005-0000-0000-00005D0D0000}"/>
    <cellStyle name="s_Ariz_Nevada (2)_1_lalur" xfId="2042" xr:uid="{00000000-0005-0000-0000-00005E0D0000}"/>
    <cellStyle name="s_Ariz_Nevada (2)_1_Leasing_V3" xfId="2043" xr:uid="{00000000-0005-0000-0000-00005F0D0000}"/>
    <cellStyle name="s_Ariz_Nevada (2)_1_MODELO PDP III" xfId="2044" xr:uid="{00000000-0005-0000-0000-0000600D0000}"/>
    <cellStyle name="s_Ariz_Nevada (2)_1_ORÇ_2009" xfId="2045" xr:uid="{00000000-0005-0000-0000-0000610D0000}"/>
    <cellStyle name="s_Ariz_Nevada (2)_1_Pasta2" xfId="2046" xr:uid="{00000000-0005-0000-0000-0000620D0000}"/>
    <cellStyle name="s_Ariz_Nevada (2)_Comparativo VP FIN v1_So 2008" xfId="7380" xr:uid="{00000000-0005-0000-0000-0000630D0000}"/>
    <cellStyle name="s_Ariz_Nevada (2)_Comparativo VP MKT 2008 v1_So 2008" xfId="7381" xr:uid="{00000000-0005-0000-0000-0000640D0000}"/>
    <cellStyle name="s_Ariz_Nevada (2)_Comparativo VP TEC 2008 v1_So 2008" xfId="7382" xr:uid="{00000000-0005-0000-0000-0000650D0000}"/>
    <cellStyle name="s_Ariz_Nevada (2)_Comparativo VP TEC 2008_Luiz Sergio" xfId="7383" xr:uid="{00000000-0005-0000-0000-0000660D0000}"/>
    <cellStyle name="s_Ariz_Nevada (2)_Cópia de Modelo - Fluxo de Caixa Orcamento 09052009_V36_3" xfId="2047" xr:uid="{00000000-0005-0000-0000-0000670D0000}"/>
    <cellStyle name="s_Ariz_Nevada (2)_Fluxo de Caixa Orcamento FINAL_13052009" xfId="2048" xr:uid="{00000000-0005-0000-0000-0000680D0000}"/>
    <cellStyle name="s_Ariz_Nevada (2)_FM_dummyV4" xfId="2049" xr:uid="{00000000-0005-0000-0000-0000690D0000}"/>
    <cellStyle name="s_Ariz_Nevada (2)_lalur" xfId="2050" xr:uid="{00000000-0005-0000-0000-00006A0D0000}"/>
    <cellStyle name="s_Ariz_Nevada (2)_Leasing_V3" xfId="2051" xr:uid="{00000000-0005-0000-0000-00006B0D0000}"/>
    <cellStyle name="s_Ariz_Nevada (2)_MODELO PDP III" xfId="2052" xr:uid="{00000000-0005-0000-0000-00006C0D0000}"/>
    <cellStyle name="s_Ariz_Nevada (2)_ORÇ_2009" xfId="2053" xr:uid="{00000000-0005-0000-0000-00006D0D0000}"/>
    <cellStyle name="s_Ariz_Nevada (2)_Pasta2" xfId="2054" xr:uid="{00000000-0005-0000-0000-00006E0D0000}"/>
    <cellStyle name="s_Assumptions" xfId="2055" xr:uid="{00000000-0005-0000-0000-00006F0D0000}"/>
    <cellStyle name="s_Assumptions_Comparativo VP FIN v1_So 2008" xfId="7384" xr:uid="{00000000-0005-0000-0000-0000700D0000}"/>
    <cellStyle name="s_Assumptions_Comparativo VP MKT 2008 v1_So 2008" xfId="7385" xr:uid="{00000000-0005-0000-0000-0000710D0000}"/>
    <cellStyle name="s_Assumptions_Comparativo VP TEC 2008 v1_So 2008" xfId="7386" xr:uid="{00000000-0005-0000-0000-0000720D0000}"/>
    <cellStyle name="s_Assumptions_Comparativo VP TEC 2008_Luiz Sergio" xfId="7387" xr:uid="{00000000-0005-0000-0000-0000730D0000}"/>
    <cellStyle name="s_Assumptions_Cópia de Modelo - Fluxo de Caixa Orcamento 09052009_V36_3" xfId="2056" xr:uid="{00000000-0005-0000-0000-0000740D0000}"/>
    <cellStyle name="s_Assumptions_Fluxo de Caixa Orcamento FINAL_13052009" xfId="2057" xr:uid="{00000000-0005-0000-0000-0000750D0000}"/>
    <cellStyle name="s_Assumptions_FM_dummyV4" xfId="2058" xr:uid="{00000000-0005-0000-0000-0000760D0000}"/>
    <cellStyle name="s_Assumptions_lalur" xfId="2059" xr:uid="{00000000-0005-0000-0000-0000770D0000}"/>
    <cellStyle name="s_Assumptions_Leasing_V3" xfId="2060" xr:uid="{00000000-0005-0000-0000-0000780D0000}"/>
    <cellStyle name="s_Assumptions_MODELO PDP III" xfId="2061" xr:uid="{00000000-0005-0000-0000-0000790D0000}"/>
    <cellStyle name="s_Assumptions_ORÇ_2009" xfId="2062" xr:uid="{00000000-0005-0000-0000-00007A0D0000}"/>
    <cellStyle name="s_Assumptions_Pasta2" xfId="2063" xr:uid="{00000000-0005-0000-0000-00007B0D0000}"/>
    <cellStyle name="s_Assumptions_Q2 pipeline" xfId="2064" xr:uid="{00000000-0005-0000-0000-00007C0D0000}"/>
    <cellStyle name="s_Assumptions_Q2 pipeline 2" xfId="7388" xr:uid="{00000000-0005-0000-0000-00007D0D0000}"/>
    <cellStyle name="s_Assumptions_Q2 pipeline_Cópia de Modelo - Fluxo de Caixa Orcamento 09052009_V36_3" xfId="2065" xr:uid="{00000000-0005-0000-0000-00007E0D0000}"/>
    <cellStyle name="s_Assumptions_Q2 pipeline_Cópia de Modelo - Fluxo de Caixa Orcamento 09052009_V36_3 2" xfId="7389" xr:uid="{00000000-0005-0000-0000-00007F0D0000}"/>
    <cellStyle name="s_Assumptions_Q2 pipeline_Fluxo de Caixa Orcamento FINAL_13052009" xfId="2066" xr:uid="{00000000-0005-0000-0000-0000800D0000}"/>
    <cellStyle name="s_Assumptions_Q2 pipeline_Fluxo de Caixa Orcamento FINAL_13052009 2" xfId="7390" xr:uid="{00000000-0005-0000-0000-0000810D0000}"/>
    <cellStyle name="s_Assumptions_Q2 pipeline_FM_dummyV4" xfId="2067" xr:uid="{00000000-0005-0000-0000-0000820D0000}"/>
    <cellStyle name="s_Assumptions_Q2 pipeline_lalur" xfId="2068" xr:uid="{00000000-0005-0000-0000-0000830D0000}"/>
    <cellStyle name="s_Assumptions_Q2 pipeline_Leasing_V3" xfId="2069" xr:uid="{00000000-0005-0000-0000-0000840D0000}"/>
    <cellStyle name="s_Assumptions_Q2 pipeline_MODELO PDP III" xfId="2070" xr:uid="{00000000-0005-0000-0000-0000850D0000}"/>
    <cellStyle name="s_Assumptions_Q2 pipeline_ORÇ_2009" xfId="2071" xr:uid="{00000000-0005-0000-0000-0000860D0000}"/>
    <cellStyle name="s_Assumptions_Q2 pipeline_ORÇ_2009 2" xfId="7391" xr:uid="{00000000-0005-0000-0000-0000870D0000}"/>
    <cellStyle name="s_Assumptions_Q2 pipeline_Pasta2" xfId="2072" xr:uid="{00000000-0005-0000-0000-0000880D0000}"/>
    <cellStyle name="s_Assumptions_Q2 pipeline_Pasta2 2" xfId="7392" xr:uid="{00000000-0005-0000-0000-0000890D0000}"/>
    <cellStyle name="s_B_S_Ratios _B" xfId="2073" xr:uid="{00000000-0005-0000-0000-00008A0D0000}"/>
    <cellStyle name="s_B_S_Ratios _B_Comparativo VP FIN v1_So 2008" xfId="7393" xr:uid="{00000000-0005-0000-0000-00008B0D0000}"/>
    <cellStyle name="s_B_S_Ratios _B_Comparativo VP MKT 2008 v1_So 2008" xfId="7394" xr:uid="{00000000-0005-0000-0000-00008C0D0000}"/>
    <cellStyle name="s_B_S_Ratios _B_Comparativo VP TEC 2008 v1_So 2008" xfId="7395" xr:uid="{00000000-0005-0000-0000-00008D0D0000}"/>
    <cellStyle name="s_B_S_Ratios _B_Comparativo VP TEC 2008_Luiz Sergio" xfId="7396" xr:uid="{00000000-0005-0000-0000-00008E0D0000}"/>
    <cellStyle name="s_B_S_Ratios _B_Cópia de Modelo - Fluxo de Caixa Orcamento 09052009_V36_3" xfId="2074" xr:uid="{00000000-0005-0000-0000-00008F0D0000}"/>
    <cellStyle name="s_B_S_Ratios _B_Fluxo de Caixa Orcamento FINAL_13052009" xfId="2075" xr:uid="{00000000-0005-0000-0000-0000900D0000}"/>
    <cellStyle name="s_B_S_Ratios _B_FM_dummyV4" xfId="2076" xr:uid="{00000000-0005-0000-0000-0000910D0000}"/>
    <cellStyle name="s_B_S_Ratios _B_lalur" xfId="2077" xr:uid="{00000000-0005-0000-0000-0000920D0000}"/>
    <cellStyle name="s_B_S_Ratios _B_Leasing_V3" xfId="2078" xr:uid="{00000000-0005-0000-0000-0000930D0000}"/>
    <cellStyle name="s_B_S_Ratios _B_MODELO PDP III" xfId="2079" xr:uid="{00000000-0005-0000-0000-0000940D0000}"/>
    <cellStyle name="s_B_S_Ratios _B_ORÇ_2009" xfId="2080" xr:uid="{00000000-0005-0000-0000-0000950D0000}"/>
    <cellStyle name="s_B_S_Ratios _B_Pasta2" xfId="2081" xr:uid="{00000000-0005-0000-0000-0000960D0000}"/>
    <cellStyle name="s_B_S_Ratios _B_Q2 pipeline" xfId="2082" xr:uid="{00000000-0005-0000-0000-0000970D0000}"/>
    <cellStyle name="s_B_S_Ratios _B_Q2 pipeline 2" xfId="7397" xr:uid="{00000000-0005-0000-0000-0000980D0000}"/>
    <cellStyle name="s_B_S_Ratios _B_Q2 pipeline_Cópia de Modelo - Fluxo de Caixa Orcamento 09052009_V36_3" xfId="2083" xr:uid="{00000000-0005-0000-0000-0000990D0000}"/>
    <cellStyle name="s_B_S_Ratios _B_Q2 pipeline_Cópia de Modelo - Fluxo de Caixa Orcamento 09052009_V36_3 2" xfId="7398" xr:uid="{00000000-0005-0000-0000-00009A0D0000}"/>
    <cellStyle name="s_B_S_Ratios _B_Q2 pipeline_Fluxo de Caixa Orcamento FINAL_13052009" xfId="2084" xr:uid="{00000000-0005-0000-0000-00009B0D0000}"/>
    <cellStyle name="s_B_S_Ratios _B_Q2 pipeline_Fluxo de Caixa Orcamento FINAL_13052009 2" xfId="7399" xr:uid="{00000000-0005-0000-0000-00009C0D0000}"/>
    <cellStyle name="s_B_S_Ratios _B_Q2 pipeline_FM_dummyV4" xfId="2085" xr:uid="{00000000-0005-0000-0000-00009D0D0000}"/>
    <cellStyle name="s_B_S_Ratios _B_Q2 pipeline_lalur" xfId="2086" xr:uid="{00000000-0005-0000-0000-00009E0D0000}"/>
    <cellStyle name="s_B_S_Ratios _B_Q2 pipeline_Leasing_V3" xfId="2087" xr:uid="{00000000-0005-0000-0000-00009F0D0000}"/>
    <cellStyle name="s_B_S_Ratios _B_Q2 pipeline_MODELO PDP III" xfId="2088" xr:uid="{00000000-0005-0000-0000-0000A00D0000}"/>
    <cellStyle name="s_B_S_Ratios _B_Q2 pipeline_ORÇ_2009" xfId="2089" xr:uid="{00000000-0005-0000-0000-0000A10D0000}"/>
    <cellStyle name="s_B_S_Ratios _B_Q2 pipeline_ORÇ_2009 2" xfId="7400" xr:uid="{00000000-0005-0000-0000-0000A20D0000}"/>
    <cellStyle name="s_B_S_Ratios _B_Q2 pipeline_Pasta2" xfId="2090" xr:uid="{00000000-0005-0000-0000-0000A30D0000}"/>
    <cellStyle name="s_B_S_Ratios _B_Q2 pipeline_Pasta2 2" xfId="7401" xr:uid="{00000000-0005-0000-0000-0000A40D0000}"/>
    <cellStyle name="s_B_S_Ratios_T" xfId="2091" xr:uid="{00000000-0005-0000-0000-0000A50D0000}"/>
    <cellStyle name="s_B_S_Ratios_T_Comparativo VP FIN v1_So 2008" xfId="7402" xr:uid="{00000000-0005-0000-0000-0000A60D0000}"/>
    <cellStyle name="s_B_S_Ratios_T_Comparativo VP MKT 2008 v1_So 2008" xfId="7403" xr:uid="{00000000-0005-0000-0000-0000A70D0000}"/>
    <cellStyle name="s_B_S_Ratios_T_Comparativo VP TEC 2008 v1_So 2008" xfId="7404" xr:uid="{00000000-0005-0000-0000-0000A80D0000}"/>
    <cellStyle name="s_B_S_Ratios_T_Comparativo VP TEC 2008_Luiz Sergio" xfId="7405" xr:uid="{00000000-0005-0000-0000-0000A90D0000}"/>
    <cellStyle name="s_B_S_Ratios_T_Cópia de Modelo - Fluxo de Caixa Orcamento 09052009_V36_3" xfId="2092" xr:uid="{00000000-0005-0000-0000-0000AA0D0000}"/>
    <cellStyle name="s_B_S_Ratios_T_Fluxo de Caixa Orcamento FINAL_13052009" xfId="2093" xr:uid="{00000000-0005-0000-0000-0000AB0D0000}"/>
    <cellStyle name="s_B_S_Ratios_T_FM_dummyV4" xfId="2094" xr:uid="{00000000-0005-0000-0000-0000AC0D0000}"/>
    <cellStyle name="s_B_S_Ratios_T_lalur" xfId="2095" xr:uid="{00000000-0005-0000-0000-0000AD0D0000}"/>
    <cellStyle name="s_B_S_Ratios_T_Leasing_V3" xfId="2096" xr:uid="{00000000-0005-0000-0000-0000AE0D0000}"/>
    <cellStyle name="s_B_S_Ratios_T_MODELO PDP III" xfId="2097" xr:uid="{00000000-0005-0000-0000-0000AF0D0000}"/>
    <cellStyle name="s_B_S_Ratios_T_ORÇ_2009" xfId="2098" xr:uid="{00000000-0005-0000-0000-0000B00D0000}"/>
    <cellStyle name="s_B_S_Ratios_T_Pasta2" xfId="2099" xr:uid="{00000000-0005-0000-0000-0000B10D0000}"/>
    <cellStyle name="s_B_S_Ratios_T_Q2 pipeline" xfId="2100" xr:uid="{00000000-0005-0000-0000-0000B20D0000}"/>
    <cellStyle name="s_B_S_Ratios_T_Q2 pipeline 2" xfId="7406" xr:uid="{00000000-0005-0000-0000-0000B30D0000}"/>
    <cellStyle name="s_B_S_Ratios_T_Q2 pipeline_Cópia de Modelo - Fluxo de Caixa Orcamento 09052009_V36_3" xfId="2101" xr:uid="{00000000-0005-0000-0000-0000B40D0000}"/>
    <cellStyle name="s_B_S_Ratios_T_Q2 pipeline_Cópia de Modelo - Fluxo de Caixa Orcamento 09052009_V36_3 2" xfId="7407" xr:uid="{00000000-0005-0000-0000-0000B50D0000}"/>
    <cellStyle name="s_B_S_Ratios_T_Q2 pipeline_Fluxo de Caixa Orcamento FINAL_13052009" xfId="2102" xr:uid="{00000000-0005-0000-0000-0000B60D0000}"/>
    <cellStyle name="s_B_S_Ratios_T_Q2 pipeline_Fluxo de Caixa Orcamento FINAL_13052009 2" xfId="7408" xr:uid="{00000000-0005-0000-0000-0000B70D0000}"/>
    <cellStyle name="s_B_S_Ratios_T_Q2 pipeline_FM_dummyV4" xfId="2103" xr:uid="{00000000-0005-0000-0000-0000B80D0000}"/>
    <cellStyle name="s_B_S_Ratios_T_Q2 pipeline_lalur" xfId="2104" xr:uid="{00000000-0005-0000-0000-0000B90D0000}"/>
    <cellStyle name="s_B_S_Ratios_T_Q2 pipeline_Leasing_V3" xfId="2105" xr:uid="{00000000-0005-0000-0000-0000BA0D0000}"/>
    <cellStyle name="s_B_S_Ratios_T_Q2 pipeline_MODELO PDP III" xfId="2106" xr:uid="{00000000-0005-0000-0000-0000BB0D0000}"/>
    <cellStyle name="s_B_S_Ratios_T_Q2 pipeline_ORÇ_2009" xfId="2107" xr:uid="{00000000-0005-0000-0000-0000BC0D0000}"/>
    <cellStyle name="s_B_S_Ratios_T_Q2 pipeline_ORÇ_2009 2" xfId="7409" xr:uid="{00000000-0005-0000-0000-0000BD0D0000}"/>
    <cellStyle name="s_B_S_Ratios_T_Q2 pipeline_Pasta2" xfId="2108" xr:uid="{00000000-0005-0000-0000-0000BE0D0000}"/>
    <cellStyle name="s_B_S_Ratios_T_Q2 pipeline_Pasta2 2" xfId="7410" xr:uid="{00000000-0005-0000-0000-0000BF0D0000}"/>
    <cellStyle name="s_Bal Sheets" xfId="2109" xr:uid="{00000000-0005-0000-0000-0000C00D0000}"/>
    <cellStyle name="s_Bal Sheets (2)" xfId="2110" xr:uid="{00000000-0005-0000-0000-0000C10D0000}"/>
    <cellStyle name="s_Bal Sheets (2)_1" xfId="2111" xr:uid="{00000000-0005-0000-0000-0000C20D0000}"/>
    <cellStyle name="s_Bal Sheets (2)_1_Comparativo VP FIN v1_So 2008" xfId="7411" xr:uid="{00000000-0005-0000-0000-0000C30D0000}"/>
    <cellStyle name="s_Bal Sheets (2)_1_Comparativo VP MKT 2008 v1_So 2008" xfId="7412" xr:uid="{00000000-0005-0000-0000-0000C40D0000}"/>
    <cellStyle name="s_Bal Sheets (2)_1_Comparativo VP TEC 2008 v1_So 2008" xfId="7413" xr:uid="{00000000-0005-0000-0000-0000C50D0000}"/>
    <cellStyle name="s_Bal Sheets (2)_1_Comparativo VP TEC 2008_Luiz Sergio" xfId="7414" xr:uid="{00000000-0005-0000-0000-0000C60D0000}"/>
    <cellStyle name="s_Bal Sheets (2)_1_Cópia de Modelo - Fluxo de Caixa Orcamento 09052009_V36_3" xfId="2112" xr:uid="{00000000-0005-0000-0000-0000C70D0000}"/>
    <cellStyle name="s_Bal Sheets (2)_1_Fluxo de Caixa Orcamento FINAL_13052009" xfId="2113" xr:uid="{00000000-0005-0000-0000-0000C80D0000}"/>
    <cellStyle name="s_Bal Sheets (2)_1_FM_dummyV4" xfId="2114" xr:uid="{00000000-0005-0000-0000-0000C90D0000}"/>
    <cellStyle name="s_Bal Sheets (2)_1_lalur" xfId="2115" xr:uid="{00000000-0005-0000-0000-0000CA0D0000}"/>
    <cellStyle name="s_Bal Sheets (2)_1_Leasing_V3" xfId="2116" xr:uid="{00000000-0005-0000-0000-0000CB0D0000}"/>
    <cellStyle name="s_Bal Sheets (2)_1_MODELO PDP III" xfId="2117" xr:uid="{00000000-0005-0000-0000-0000CC0D0000}"/>
    <cellStyle name="s_Bal Sheets (2)_1_ORÇ_2009" xfId="2118" xr:uid="{00000000-0005-0000-0000-0000CD0D0000}"/>
    <cellStyle name="s_Bal Sheets (2)_1_Pasta2" xfId="2119" xr:uid="{00000000-0005-0000-0000-0000CE0D0000}"/>
    <cellStyle name="s_Bal Sheets (2)_Comparativo VP FIN v1_So 2008" xfId="7415" xr:uid="{00000000-0005-0000-0000-0000CF0D0000}"/>
    <cellStyle name="s_Bal Sheets (2)_Comparativo VP MKT 2008 v1_So 2008" xfId="7416" xr:uid="{00000000-0005-0000-0000-0000D00D0000}"/>
    <cellStyle name="s_Bal Sheets (2)_Comparativo VP TEC 2008 v1_So 2008" xfId="7417" xr:uid="{00000000-0005-0000-0000-0000D10D0000}"/>
    <cellStyle name="s_Bal Sheets (2)_Comparativo VP TEC 2008_Luiz Sergio" xfId="7418" xr:uid="{00000000-0005-0000-0000-0000D20D0000}"/>
    <cellStyle name="s_Bal Sheets (2)_Cópia de Modelo - Fluxo de Caixa Orcamento 09052009_V36_3" xfId="2120" xr:uid="{00000000-0005-0000-0000-0000D30D0000}"/>
    <cellStyle name="s_Bal Sheets (2)_Fluxo de Caixa Orcamento FINAL_13052009" xfId="2121" xr:uid="{00000000-0005-0000-0000-0000D40D0000}"/>
    <cellStyle name="s_Bal Sheets (2)_FM_dummyV4" xfId="2122" xr:uid="{00000000-0005-0000-0000-0000D50D0000}"/>
    <cellStyle name="s_Bal Sheets (2)_lalur" xfId="2123" xr:uid="{00000000-0005-0000-0000-0000D60D0000}"/>
    <cellStyle name="s_Bal Sheets (2)_Leasing_V3" xfId="2124" xr:uid="{00000000-0005-0000-0000-0000D70D0000}"/>
    <cellStyle name="s_Bal Sheets (2)_MODELO PDP III" xfId="2125" xr:uid="{00000000-0005-0000-0000-0000D80D0000}"/>
    <cellStyle name="s_Bal Sheets (2)_ORÇ_2009" xfId="2126" xr:uid="{00000000-0005-0000-0000-0000D90D0000}"/>
    <cellStyle name="s_Bal Sheets (2)_Pasta2" xfId="2127" xr:uid="{00000000-0005-0000-0000-0000DA0D0000}"/>
    <cellStyle name="s_Bal Sheets_1" xfId="2128" xr:uid="{00000000-0005-0000-0000-0000DB0D0000}"/>
    <cellStyle name="s_Bal Sheets_1_AM0909" xfId="2129" xr:uid="{00000000-0005-0000-0000-0000DC0D0000}"/>
    <cellStyle name="s_Bal Sheets_1_AM0909_Comparativo VP FIN v1_So 2008" xfId="7419" xr:uid="{00000000-0005-0000-0000-0000DD0D0000}"/>
    <cellStyle name="s_Bal Sheets_1_AM0909_Comparativo VP MKT 2008 v1_So 2008" xfId="7420" xr:uid="{00000000-0005-0000-0000-0000DE0D0000}"/>
    <cellStyle name="s_Bal Sheets_1_AM0909_Comparativo VP TEC 2008 v1_So 2008" xfId="7421" xr:uid="{00000000-0005-0000-0000-0000DF0D0000}"/>
    <cellStyle name="s_Bal Sheets_1_AM0909_Comparativo VP TEC 2008_Luiz Sergio" xfId="7422" xr:uid="{00000000-0005-0000-0000-0000E00D0000}"/>
    <cellStyle name="s_Bal Sheets_1_AM0909_Cópia de Modelo - Fluxo de Caixa Orcamento 09052009_V36_3" xfId="2130" xr:uid="{00000000-0005-0000-0000-0000E10D0000}"/>
    <cellStyle name="s_Bal Sheets_1_AM0909_Fluxo de Caixa Orcamento FINAL_13052009" xfId="2131" xr:uid="{00000000-0005-0000-0000-0000E20D0000}"/>
    <cellStyle name="s_Bal Sheets_1_AM0909_FM_dummyV4" xfId="2132" xr:uid="{00000000-0005-0000-0000-0000E30D0000}"/>
    <cellStyle name="s_Bal Sheets_1_AM0909_lalur" xfId="2133" xr:uid="{00000000-0005-0000-0000-0000E40D0000}"/>
    <cellStyle name="s_Bal Sheets_1_AM0909_Leasing_V3" xfId="2134" xr:uid="{00000000-0005-0000-0000-0000E50D0000}"/>
    <cellStyle name="s_Bal Sheets_1_AM0909_MODELO PDP III" xfId="2135" xr:uid="{00000000-0005-0000-0000-0000E60D0000}"/>
    <cellStyle name="s_Bal Sheets_1_AM0909_ORÇ_2009" xfId="2136" xr:uid="{00000000-0005-0000-0000-0000E70D0000}"/>
    <cellStyle name="s_Bal Sheets_1_AM0909_Pasta2" xfId="2137" xr:uid="{00000000-0005-0000-0000-0000E80D0000}"/>
    <cellStyle name="s_Bal Sheets_1_Brenner" xfId="2138" xr:uid="{00000000-0005-0000-0000-0000E90D0000}"/>
    <cellStyle name="s_Bal Sheets_1_Brenner_Comparativo VP FIN v1_So 2008" xfId="7423" xr:uid="{00000000-0005-0000-0000-0000EA0D0000}"/>
    <cellStyle name="s_Bal Sheets_1_Brenner_Comparativo VP MKT 2008 v1_So 2008" xfId="7424" xr:uid="{00000000-0005-0000-0000-0000EB0D0000}"/>
    <cellStyle name="s_Bal Sheets_1_Brenner_Comparativo VP TEC 2008 v1_So 2008" xfId="7425" xr:uid="{00000000-0005-0000-0000-0000EC0D0000}"/>
    <cellStyle name="s_Bal Sheets_1_Brenner_Comparativo VP TEC 2008_Luiz Sergio" xfId="7426" xr:uid="{00000000-0005-0000-0000-0000ED0D0000}"/>
    <cellStyle name="s_Bal Sheets_1_Brenner_Cópia de Modelo - Fluxo de Caixa Orcamento 09052009_V36_3" xfId="2139" xr:uid="{00000000-0005-0000-0000-0000EE0D0000}"/>
    <cellStyle name="s_Bal Sheets_1_Brenner_Fluxo de Caixa Orcamento FINAL_13052009" xfId="2140" xr:uid="{00000000-0005-0000-0000-0000EF0D0000}"/>
    <cellStyle name="s_Bal Sheets_1_Brenner_FM_dummyV4" xfId="2141" xr:uid="{00000000-0005-0000-0000-0000F00D0000}"/>
    <cellStyle name="s_Bal Sheets_1_Brenner_lalur" xfId="2142" xr:uid="{00000000-0005-0000-0000-0000F10D0000}"/>
    <cellStyle name="s_Bal Sheets_1_Brenner_Leasing_V3" xfId="2143" xr:uid="{00000000-0005-0000-0000-0000F20D0000}"/>
    <cellStyle name="s_Bal Sheets_1_Brenner_MODELO PDP III" xfId="2144" xr:uid="{00000000-0005-0000-0000-0000F30D0000}"/>
    <cellStyle name="s_Bal Sheets_1_Brenner_ORÇ_2009" xfId="2145" xr:uid="{00000000-0005-0000-0000-0000F40D0000}"/>
    <cellStyle name="s_Bal Sheets_1_Brenner_Pasta2" xfId="2146" xr:uid="{00000000-0005-0000-0000-0000F50D0000}"/>
    <cellStyle name="s_Bal Sheets_1_Comparativo VP FIN v1_So 2008" xfId="7427" xr:uid="{00000000-0005-0000-0000-0000F60D0000}"/>
    <cellStyle name="s_Bal Sheets_1_Comparativo VP MKT 2008 v1_So 2008" xfId="7428" xr:uid="{00000000-0005-0000-0000-0000F70D0000}"/>
    <cellStyle name="s_Bal Sheets_1_Comparativo VP TEC 2008 v1_So 2008" xfId="7429" xr:uid="{00000000-0005-0000-0000-0000F80D0000}"/>
    <cellStyle name="s_Bal Sheets_1_Comparativo VP TEC 2008_Luiz Sergio" xfId="7430" xr:uid="{00000000-0005-0000-0000-0000F90D0000}"/>
    <cellStyle name="s_Bal Sheets_1_Cópia de Modelo - Fluxo de Caixa Orcamento 09052009_V36_3" xfId="2147" xr:uid="{00000000-0005-0000-0000-0000FA0D0000}"/>
    <cellStyle name="s_Bal Sheets_1_Fluxo de Caixa Orcamento FINAL_13052009" xfId="2148" xr:uid="{00000000-0005-0000-0000-0000FB0D0000}"/>
    <cellStyle name="s_Bal Sheets_1_FM_dummyV4" xfId="2149" xr:uid="{00000000-0005-0000-0000-0000FC0D0000}"/>
    <cellStyle name="s_Bal Sheets_1_lalur" xfId="2150" xr:uid="{00000000-0005-0000-0000-0000FD0D0000}"/>
    <cellStyle name="s_Bal Sheets_1_Leasing_V3" xfId="2151" xr:uid="{00000000-0005-0000-0000-0000FE0D0000}"/>
    <cellStyle name="s_Bal Sheets_1_MODELO PDP III" xfId="2152" xr:uid="{00000000-0005-0000-0000-0000FF0D0000}"/>
    <cellStyle name="s_Bal Sheets_1_ORÇ_2009" xfId="2153" xr:uid="{00000000-0005-0000-0000-0000000E0000}"/>
    <cellStyle name="s_Bal Sheets_1_Pasta2" xfId="2154" xr:uid="{00000000-0005-0000-0000-0000010E0000}"/>
    <cellStyle name="s_Bal Sheets_2" xfId="2155" xr:uid="{00000000-0005-0000-0000-0000020E0000}"/>
    <cellStyle name="s_Bal Sheets_2_Comparativo VP FIN v1_So 2008" xfId="7431" xr:uid="{00000000-0005-0000-0000-0000030E0000}"/>
    <cellStyle name="s_Bal Sheets_2_Comparativo VP MKT 2008 v1_So 2008" xfId="7432" xr:uid="{00000000-0005-0000-0000-0000040E0000}"/>
    <cellStyle name="s_Bal Sheets_2_Comparativo VP TEC 2008 v1_So 2008" xfId="7433" xr:uid="{00000000-0005-0000-0000-0000050E0000}"/>
    <cellStyle name="s_Bal Sheets_2_Comparativo VP TEC 2008_Luiz Sergio" xfId="7434" xr:uid="{00000000-0005-0000-0000-0000060E0000}"/>
    <cellStyle name="s_Bal Sheets_2_Cópia de Modelo - Fluxo de Caixa Orcamento 09052009_V36_3" xfId="2156" xr:uid="{00000000-0005-0000-0000-0000070E0000}"/>
    <cellStyle name="s_Bal Sheets_2_Fluxo de Caixa Orcamento FINAL_13052009" xfId="2157" xr:uid="{00000000-0005-0000-0000-0000080E0000}"/>
    <cellStyle name="s_Bal Sheets_2_FM_dummyV4" xfId="2158" xr:uid="{00000000-0005-0000-0000-0000090E0000}"/>
    <cellStyle name="s_Bal Sheets_2_lalur" xfId="2159" xr:uid="{00000000-0005-0000-0000-00000A0E0000}"/>
    <cellStyle name="s_Bal Sheets_2_Leasing_V3" xfId="2160" xr:uid="{00000000-0005-0000-0000-00000B0E0000}"/>
    <cellStyle name="s_Bal Sheets_2_MODELO PDP III" xfId="2161" xr:uid="{00000000-0005-0000-0000-00000C0E0000}"/>
    <cellStyle name="s_Bal Sheets_2_ORÇ_2009" xfId="2162" xr:uid="{00000000-0005-0000-0000-00000D0E0000}"/>
    <cellStyle name="s_Bal Sheets_2_Pasta2" xfId="2163" xr:uid="{00000000-0005-0000-0000-00000E0E0000}"/>
    <cellStyle name="s_Bal Sheets_AM0909" xfId="2164" xr:uid="{00000000-0005-0000-0000-00000F0E0000}"/>
    <cellStyle name="s_Bal Sheets_AM0909_Comparativo VP FIN v1_So 2008" xfId="7435" xr:uid="{00000000-0005-0000-0000-0000100E0000}"/>
    <cellStyle name="s_Bal Sheets_AM0909_Comparativo VP MKT 2008 v1_So 2008" xfId="7436" xr:uid="{00000000-0005-0000-0000-0000110E0000}"/>
    <cellStyle name="s_Bal Sheets_AM0909_Comparativo VP TEC 2008 v1_So 2008" xfId="7437" xr:uid="{00000000-0005-0000-0000-0000120E0000}"/>
    <cellStyle name="s_Bal Sheets_AM0909_Comparativo VP TEC 2008_Luiz Sergio" xfId="7438" xr:uid="{00000000-0005-0000-0000-0000130E0000}"/>
    <cellStyle name="s_Bal Sheets_AM0909_Cópia de Modelo - Fluxo de Caixa Orcamento 09052009_V36_3" xfId="2165" xr:uid="{00000000-0005-0000-0000-0000140E0000}"/>
    <cellStyle name="s_Bal Sheets_AM0909_Fluxo de Caixa Orcamento FINAL_13052009" xfId="2166" xr:uid="{00000000-0005-0000-0000-0000150E0000}"/>
    <cellStyle name="s_Bal Sheets_AM0909_FM_dummyV4" xfId="2167" xr:uid="{00000000-0005-0000-0000-0000160E0000}"/>
    <cellStyle name="s_Bal Sheets_AM0909_lalur" xfId="2168" xr:uid="{00000000-0005-0000-0000-0000170E0000}"/>
    <cellStyle name="s_Bal Sheets_AM0909_Leasing_V3" xfId="2169" xr:uid="{00000000-0005-0000-0000-0000180E0000}"/>
    <cellStyle name="s_Bal Sheets_AM0909_MODELO PDP III" xfId="2170" xr:uid="{00000000-0005-0000-0000-0000190E0000}"/>
    <cellStyle name="s_Bal Sheets_AM0909_ORÇ_2009" xfId="2171" xr:uid="{00000000-0005-0000-0000-00001A0E0000}"/>
    <cellStyle name="s_Bal Sheets_AM0909_Pasta2" xfId="2172" xr:uid="{00000000-0005-0000-0000-00001B0E0000}"/>
    <cellStyle name="s_Bal Sheets_Brenner" xfId="2173" xr:uid="{00000000-0005-0000-0000-00001C0E0000}"/>
    <cellStyle name="s_Bal Sheets_Brenner_Comparativo VP FIN v1_So 2008" xfId="7439" xr:uid="{00000000-0005-0000-0000-00001D0E0000}"/>
    <cellStyle name="s_Bal Sheets_Brenner_Comparativo VP MKT 2008 v1_So 2008" xfId="7440" xr:uid="{00000000-0005-0000-0000-00001E0E0000}"/>
    <cellStyle name="s_Bal Sheets_Brenner_Comparativo VP TEC 2008 v1_So 2008" xfId="7441" xr:uid="{00000000-0005-0000-0000-00001F0E0000}"/>
    <cellStyle name="s_Bal Sheets_Brenner_Comparativo VP TEC 2008_Luiz Sergio" xfId="7442" xr:uid="{00000000-0005-0000-0000-0000200E0000}"/>
    <cellStyle name="s_Bal Sheets_Brenner_Cópia de Modelo - Fluxo de Caixa Orcamento 09052009_V36_3" xfId="2174" xr:uid="{00000000-0005-0000-0000-0000210E0000}"/>
    <cellStyle name="s_Bal Sheets_Brenner_Fluxo de Caixa Orcamento FINAL_13052009" xfId="2175" xr:uid="{00000000-0005-0000-0000-0000220E0000}"/>
    <cellStyle name="s_Bal Sheets_Brenner_FM_dummyV4" xfId="2176" xr:uid="{00000000-0005-0000-0000-0000230E0000}"/>
    <cellStyle name="s_Bal Sheets_Brenner_lalur" xfId="2177" xr:uid="{00000000-0005-0000-0000-0000240E0000}"/>
    <cellStyle name="s_Bal Sheets_Brenner_Leasing_V3" xfId="2178" xr:uid="{00000000-0005-0000-0000-0000250E0000}"/>
    <cellStyle name="s_Bal Sheets_Brenner_MODELO PDP III" xfId="2179" xr:uid="{00000000-0005-0000-0000-0000260E0000}"/>
    <cellStyle name="s_Bal Sheets_Brenner_ORÇ_2009" xfId="2180" xr:uid="{00000000-0005-0000-0000-0000270E0000}"/>
    <cellStyle name="s_Bal Sheets_Brenner_Pasta2" xfId="2181" xr:uid="{00000000-0005-0000-0000-0000280E0000}"/>
    <cellStyle name="s_Bal Sheets_Comparativo VP FIN v1_So 2008" xfId="7443" xr:uid="{00000000-0005-0000-0000-0000290E0000}"/>
    <cellStyle name="s_Bal Sheets_Comparativo VP MKT 2008 v1_So 2008" xfId="7444" xr:uid="{00000000-0005-0000-0000-00002A0E0000}"/>
    <cellStyle name="s_Bal Sheets_Comparativo VP TEC 2008 v1_So 2008" xfId="7445" xr:uid="{00000000-0005-0000-0000-00002B0E0000}"/>
    <cellStyle name="s_Bal Sheets_Comparativo VP TEC 2008_Luiz Sergio" xfId="7446" xr:uid="{00000000-0005-0000-0000-00002C0E0000}"/>
    <cellStyle name="s_Bal Sheets_Cópia de Modelo - Fluxo de Caixa Orcamento 09052009_V36_3" xfId="2182" xr:uid="{00000000-0005-0000-0000-00002D0E0000}"/>
    <cellStyle name="s_Bal Sheets_Fluxo de Caixa Orcamento FINAL_13052009" xfId="2183" xr:uid="{00000000-0005-0000-0000-00002E0E0000}"/>
    <cellStyle name="s_Bal Sheets_FM_dummyV4" xfId="2184" xr:uid="{00000000-0005-0000-0000-00002F0E0000}"/>
    <cellStyle name="s_Bal Sheets_lalur" xfId="2185" xr:uid="{00000000-0005-0000-0000-0000300E0000}"/>
    <cellStyle name="s_Bal Sheets_Leasing_V3" xfId="2186" xr:uid="{00000000-0005-0000-0000-0000310E0000}"/>
    <cellStyle name="s_Bal Sheets_MODELO PDP III" xfId="2187" xr:uid="{00000000-0005-0000-0000-0000320E0000}"/>
    <cellStyle name="s_Bal Sheets_ORÇ_2009" xfId="2188" xr:uid="{00000000-0005-0000-0000-0000330E0000}"/>
    <cellStyle name="s_Bal Sheets_Pasta2" xfId="2189" xr:uid="{00000000-0005-0000-0000-0000340E0000}"/>
    <cellStyle name="s_Base Apresentação" xfId="7447" xr:uid="{00000000-0005-0000-0000-0000350E0000}"/>
    <cellStyle name="s_Base Apresentação_Base ITR Set-10 - Ajustes Resmat" xfId="7448" xr:uid="{00000000-0005-0000-0000-0000360E0000}"/>
    <cellStyle name="s_But813" xfId="2190" xr:uid="{00000000-0005-0000-0000-0000370E0000}"/>
    <cellStyle name="s_But813_Comparativo VP FIN v1_So 2008" xfId="7449" xr:uid="{00000000-0005-0000-0000-0000380E0000}"/>
    <cellStyle name="s_But813_Comparativo VP MKT 2008 v1_So 2008" xfId="7450" xr:uid="{00000000-0005-0000-0000-0000390E0000}"/>
    <cellStyle name="s_But813_Comparativo VP TEC 2008 v1_So 2008" xfId="7451" xr:uid="{00000000-0005-0000-0000-00003A0E0000}"/>
    <cellStyle name="s_But813_Comparativo VP TEC 2008_Luiz Sergio" xfId="7452" xr:uid="{00000000-0005-0000-0000-00003B0E0000}"/>
    <cellStyle name="s_But813_Cópia de Modelo - Fluxo de Caixa Orcamento 09052009_V36_3" xfId="2191" xr:uid="{00000000-0005-0000-0000-00003C0E0000}"/>
    <cellStyle name="s_But813_Fluxo de Caixa Orcamento FINAL_13052009" xfId="2192" xr:uid="{00000000-0005-0000-0000-00003D0E0000}"/>
    <cellStyle name="s_But813_FM_dummyV4" xfId="2193" xr:uid="{00000000-0005-0000-0000-00003E0E0000}"/>
    <cellStyle name="s_But813_lalur" xfId="2194" xr:uid="{00000000-0005-0000-0000-00003F0E0000}"/>
    <cellStyle name="s_But813_Leasing_V3" xfId="2195" xr:uid="{00000000-0005-0000-0000-0000400E0000}"/>
    <cellStyle name="s_But813_MODELO PDP III" xfId="2196" xr:uid="{00000000-0005-0000-0000-0000410E0000}"/>
    <cellStyle name="s_But813_ORÇ_2009" xfId="2197" xr:uid="{00000000-0005-0000-0000-0000420E0000}"/>
    <cellStyle name="s_But813_Pasta2" xfId="2198" xr:uid="{00000000-0005-0000-0000-0000430E0000}"/>
    <cellStyle name="s_But925" xfId="2199" xr:uid="{00000000-0005-0000-0000-0000440E0000}"/>
    <cellStyle name="s_But925_Comparativo VP FIN v1_So 2008" xfId="7453" xr:uid="{00000000-0005-0000-0000-0000450E0000}"/>
    <cellStyle name="s_But925_Comparativo VP MKT 2008 v1_So 2008" xfId="7454" xr:uid="{00000000-0005-0000-0000-0000460E0000}"/>
    <cellStyle name="s_But925_Comparativo VP TEC 2008 v1_So 2008" xfId="7455" xr:uid="{00000000-0005-0000-0000-0000470E0000}"/>
    <cellStyle name="s_But925_Comparativo VP TEC 2008_Luiz Sergio" xfId="7456" xr:uid="{00000000-0005-0000-0000-0000480E0000}"/>
    <cellStyle name="s_But925_Cópia de Modelo - Fluxo de Caixa Orcamento 09052009_V36_3" xfId="2200" xr:uid="{00000000-0005-0000-0000-0000490E0000}"/>
    <cellStyle name="s_But925_Fluxo de Caixa Orcamento FINAL_13052009" xfId="2201" xr:uid="{00000000-0005-0000-0000-00004A0E0000}"/>
    <cellStyle name="s_But925_FM_dummyV4" xfId="2202" xr:uid="{00000000-0005-0000-0000-00004B0E0000}"/>
    <cellStyle name="s_But925_lalur" xfId="2203" xr:uid="{00000000-0005-0000-0000-00004C0E0000}"/>
    <cellStyle name="s_But925_Leasing_V3" xfId="2204" xr:uid="{00000000-0005-0000-0000-00004D0E0000}"/>
    <cellStyle name="s_But925_MODELO PDP III" xfId="2205" xr:uid="{00000000-0005-0000-0000-00004E0E0000}"/>
    <cellStyle name="s_But925_ORÇ_2009" xfId="2206" xr:uid="{00000000-0005-0000-0000-00004F0E0000}"/>
    <cellStyle name="s_But925_Pasta2" xfId="2207" xr:uid="{00000000-0005-0000-0000-0000500E0000}"/>
    <cellStyle name="s_CA Cases (2)" xfId="2208" xr:uid="{00000000-0005-0000-0000-0000510E0000}"/>
    <cellStyle name="s_CA Cases (2)_1" xfId="2209" xr:uid="{00000000-0005-0000-0000-0000520E0000}"/>
    <cellStyle name="s_CA Cases (2)_1_Comparativo VP FIN v1_So 2008" xfId="7457" xr:uid="{00000000-0005-0000-0000-0000530E0000}"/>
    <cellStyle name="s_CA Cases (2)_1_Comparativo VP MKT 2008 v1_So 2008" xfId="7458" xr:uid="{00000000-0005-0000-0000-0000540E0000}"/>
    <cellStyle name="s_CA Cases (2)_1_Comparativo VP TEC 2008 v1_So 2008" xfId="7459" xr:uid="{00000000-0005-0000-0000-0000550E0000}"/>
    <cellStyle name="s_CA Cases (2)_1_Comparativo VP TEC 2008_Luiz Sergio" xfId="7460" xr:uid="{00000000-0005-0000-0000-0000560E0000}"/>
    <cellStyle name="s_CA Cases (2)_1_Cópia de Modelo - Fluxo de Caixa Orcamento 09052009_V36_3" xfId="2210" xr:uid="{00000000-0005-0000-0000-0000570E0000}"/>
    <cellStyle name="s_CA Cases (2)_1_Fluxo de Caixa Orcamento FINAL_13052009" xfId="2211" xr:uid="{00000000-0005-0000-0000-0000580E0000}"/>
    <cellStyle name="s_CA Cases (2)_1_FM_dummyV4" xfId="2212" xr:uid="{00000000-0005-0000-0000-0000590E0000}"/>
    <cellStyle name="s_CA Cases (2)_1_lalur" xfId="2213" xr:uid="{00000000-0005-0000-0000-00005A0E0000}"/>
    <cellStyle name="s_CA Cases (2)_1_Leasing_V3" xfId="2214" xr:uid="{00000000-0005-0000-0000-00005B0E0000}"/>
    <cellStyle name="s_CA Cases (2)_1_MODELO PDP III" xfId="2215" xr:uid="{00000000-0005-0000-0000-00005C0E0000}"/>
    <cellStyle name="s_CA Cases (2)_1_ORÇ_2009" xfId="2216" xr:uid="{00000000-0005-0000-0000-00005D0E0000}"/>
    <cellStyle name="s_CA Cases (2)_1_Pasta2" xfId="2217" xr:uid="{00000000-0005-0000-0000-00005E0E0000}"/>
    <cellStyle name="s_CA Cases (2)_Celtic DCF" xfId="2218" xr:uid="{00000000-0005-0000-0000-00005F0E0000}"/>
    <cellStyle name="s_CA Cases (2)_Celtic DCF Inputs" xfId="2219" xr:uid="{00000000-0005-0000-0000-0000600E0000}"/>
    <cellStyle name="s_CA Cases (2)_Celtic DCF Inputs_Comparativo VP FIN v1_So 2008" xfId="7461" xr:uid="{00000000-0005-0000-0000-0000610E0000}"/>
    <cellStyle name="s_CA Cases (2)_Celtic DCF Inputs_Comparativo VP MKT 2008 v1_So 2008" xfId="7462" xr:uid="{00000000-0005-0000-0000-0000620E0000}"/>
    <cellStyle name="s_CA Cases (2)_Celtic DCF Inputs_Comparativo VP TEC 2008 v1_So 2008" xfId="7463" xr:uid="{00000000-0005-0000-0000-0000630E0000}"/>
    <cellStyle name="s_CA Cases (2)_Celtic DCF Inputs_Comparativo VP TEC 2008_Luiz Sergio" xfId="7464" xr:uid="{00000000-0005-0000-0000-0000640E0000}"/>
    <cellStyle name="s_CA Cases (2)_Celtic DCF Inputs_Cópia de Modelo - Fluxo de Caixa Orcamento 09052009_V36_3" xfId="2220" xr:uid="{00000000-0005-0000-0000-0000650E0000}"/>
    <cellStyle name="s_CA Cases (2)_Celtic DCF Inputs_Fluxo de Caixa Orcamento FINAL_13052009" xfId="2221" xr:uid="{00000000-0005-0000-0000-0000660E0000}"/>
    <cellStyle name="s_CA Cases (2)_Celtic DCF Inputs_FM_dummyV4" xfId="2222" xr:uid="{00000000-0005-0000-0000-0000670E0000}"/>
    <cellStyle name="s_CA Cases (2)_Celtic DCF Inputs_lalur" xfId="2223" xr:uid="{00000000-0005-0000-0000-0000680E0000}"/>
    <cellStyle name="s_CA Cases (2)_Celtic DCF Inputs_Leasing_V3" xfId="2224" xr:uid="{00000000-0005-0000-0000-0000690E0000}"/>
    <cellStyle name="s_CA Cases (2)_Celtic DCF Inputs_MODELO PDP III" xfId="2225" xr:uid="{00000000-0005-0000-0000-00006A0E0000}"/>
    <cellStyle name="s_CA Cases (2)_Celtic DCF Inputs_ORÇ_2009" xfId="2226" xr:uid="{00000000-0005-0000-0000-00006B0E0000}"/>
    <cellStyle name="s_CA Cases (2)_Celtic DCF Inputs_Pasta2" xfId="2227" xr:uid="{00000000-0005-0000-0000-00006C0E0000}"/>
    <cellStyle name="s_CA Cases (2)_Celtic DCF_Comparativo VP FIN v1_So 2008" xfId="7465" xr:uid="{00000000-0005-0000-0000-00006D0E0000}"/>
    <cellStyle name="s_CA Cases (2)_Celtic DCF_Comparativo VP MKT 2008 v1_So 2008" xfId="7466" xr:uid="{00000000-0005-0000-0000-00006E0E0000}"/>
    <cellStyle name="s_CA Cases (2)_Celtic DCF_Comparativo VP TEC 2008 v1_So 2008" xfId="7467" xr:uid="{00000000-0005-0000-0000-00006F0E0000}"/>
    <cellStyle name="s_CA Cases (2)_Celtic DCF_Comparativo VP TEC 2008_Luiz Sergio" xfId="7468" xr:uid="{00000000-0005-0000-0000-0000700E0000}"/>
    <cellStyle name="s_CA Cases (2)_Celtic DCF_Cópia de Modelo - Fluxo de Caixa Orcamento 09052009_V36_3" xfId="2228" xr:uid="{00000000-0005-0000-0000-0000710E0000}"/>
    <cellStyle name="s_CA Cases (2)_Celtic DCF_Fluxo de Caixa Orcamento FINAL_13052009" xfId="2229" xr:uid="{00000000-0005-0000-0000-0000720E0000}"/>
    <cellStyle name="s_CA Cases (2)_Celtic DCF_FM_dummyV4" xfId="2230" xr:uid="{00000000-0005-0000-0000-0000730E0000}"/>
    <cellStyle name="s_CA Cases (2)_Celtic DCF_lalur" xfId="2231" xr:uid="{00000000-0005-0000-0000-0000740E0000}"/>
    <cellStyle name="s_CA Cases (2)_Celtic DCF_Leasing_V3" xfId="2232" xr:uid="{00000000-0005-0000-0000-0000750E0000}"/>
    <cellStyle name="s_CA Cases (2)_Celtic DCF_MODELO PDP III" xfId="2233" xr:uid="{00000000-0005-0000-0000-0000760E0000}"/>
    <cellStyle name="s_CA Cases (2)_Celtic DCF_ORÇ_2009" xfId="2234" xr:uid="{00000000-0005-0000-0000-0000770E0000}"/>
    <cellStyle name="s_CA Cases (2)_Celtic DCF_Pasta2" xfId="2235" xr:uid="{00000000-0005-0000-0000-0000780E0000}"/>
    <cellStyle name="s_CA Cases (2)_Comparativo VP FIN v1_So 2008" xfId="7469" xr:uid="{00000000-0005-0000-0000-0000790E0000}"/>
    <cellStyle name="s_CA Cases (2)_Comparativo VP MKT 2008 v1_So 2008" xfId="7470" xr:uid="{00000000-0005-0000-0000-00007A0E0000}"/>
    <cellStyle name="s_CA Cases (2)_Comparativo VP TEC 2008 v1_So 2008" xfId="7471" xr:uid="{00000000-0005-0000-0000-00007B0E0000}"/>
    <cellStyle name="s_CA Cases (2)_Comparativo VP TEC 2008_Luiz Sergio" xfId="7472" xr:uid="{00000000-0005-0000-0000-00007C0E0000}"/>
    <cellStyle name="s_CA Cases (2)_Cópia de Modelo - Fluxo de Caixa Orcamento 09052009_V36_3" xfId="2236" xr:uid="{00000000-0005-0000-0000-00007D0E0000}"/>
    <cellStyle name="s_CA Cases (2)_Fluxo de Caixa Orcamento FINAL_13052009" xfId="2237" xr:uid="{00000000-0005-0000-0000-00007E0E0000}"/>
    <cellStyle name="s_CA Cases (2)_FM_dummyV4" xfId="2238" xr:uid="{00000000-0005-0000-0000-00007F0E0000}"/>
    <cellStyle name="s_CA Cases (2)_lalur" xfId="2239" xr:uid="{00000000-0005-0000-0000-0000800E0000}"/>
    <cellStyle name="s_CA Cases (2)_Leasing_V3" xfId="2240" xr:uid="{00000000-0005-0000-0000-0000810E0000}"/>
    <cellStyle name="s_CA Cases (2)_MODELO PDP III" xfId="2241" xr:uid="{00000000-0005-0000-0000-0000820E0000}"/>
    <cellStyle name="s_CA Cases (2)_ORÇ_2009" xfId="2242" xr:uid="{00000000-0005-0000-0000-0000830E0000}"/>
    <cellStyle name="s_CA Cases (2)_Pasta2" xfId="2243" xr:uid="{00000000-0005-0000-0000-0000840E0000}"/>
    <cellStyle name="s_CA Cases (2)_Valuation Summary" xfId="2244" xr:uid="{00000000-0005-0000-0000-0000850E0000}"/>
    <cellStyle name="s_CA Cases (2)_Valuation Summary_Comparativo VP FIN v1_So 2008" xfId="7473" xr:uid="{00000000-0005-0000-0000-0000860E0000}"/>
    <cellStyle name="s_CA Cases (2)_Valuation Summary_Comparativo VP MKT 2008 v1_So 2008" xfId="7474" xr:uid="{00000000-0005-0000-0000-0000870E0000}"/>
    <cellStyle name="s_CA Cases (2)_Valuation Summary_Comparativo VP TEC 2008 v1_So 2008" xfId="7475" xr:uid="{00000000-0005-0000-0000-0000880E0000}"/>
    <cellStyle name="s_CA Cases (2)_Valuation Summary_Comparativo VP TEC 2008_Luiz Sergio" xfId="7476" xr:uid="{00000000-0005-0000-0000-0000890E0000}"/>
    <cellStyle name="s_CA Cases (2)_Valuation Summary_Cópia de Modelo - Fluxo de Caixa Orcamento 09052009_V36_3" xfId="2245" xr:uid="{00000000-0005-0000-0000-00008A0E0000}"/>
    <cellStyle name="s_CA Cases (2)_Valuation Summary_Fluxo de Caixa Orcamento FINAL_13052009" xfId="2246" xr:uid="{00000000-0005-0000-0000-00008B0E0000}"/>
    <cellStyle name="s_CA Cases (2)_Valuation Summary_FM_dummyV4" xfId="2247" xr:uid="{00000000-0005-0000-0000-00008C0E0000}"/>
    <cellStyle name="s_CA Cases (2)_Valuation Summary_lalur" xfId="2248" xr:uid="{00000000-0005-0000-0000-00008D0E0000}"/>
    <cellStyle name="s_CA Cases (2)_Valuation Summary_Leasing_V3" xfId="2249" xr:uid="{00000000-0005-0000-0000-00008E0E0000}"/>
    <cellStyle name="s_CA Cases (2)_Valuation Summary_MODELO PDP III" xfId="2250" xr:uid="{00000000-0005-0000-0000-00008F0E0000}"/>
    <cellStyle name="s_CA Cases (2)_Valuation Summary_ORÇ_2009" xfId="2251" xr:uid="{00000000-0005-0000-0000-0000900E0000}"/>
    <cellStyle name="s_CA Cases (2)_Valuation Summary_Pasta2" xfId="2252" xr:uid="{00000000-0005-0000-0000-0000910E0000}"/>
    <cellStyle name="s_Cal. (2)" xfId="2253" xr:uid="{00000000-0005-0000-0000-0000920E0000}"/>
    <cellStyle name="s_Cal. (2)_1" xfId="2254" xr:uid="{00000000-0005-0000-0000-0000930E0000}"/>
    <cellStyle name="s_Cal. (2)_1_Comparativo VP FIN v1_So 2008" xfId="7477" xr:uid="{00000000-0005-0000-0000-0000940E0000}"/>
    <cellStyle name="s_Cal. (2)_1_Comparativo VP MKT 2008 v1_So 2008" xfId="7478" xr:uid="{00000000-0005-0000-0000-0000950E0000}"/>
    <cellStyle name="s_Cal. (2)_1_Comparativo VP TEC 2008 v1_So 2008" xfId="7479" xr:uid="{00000000-0005-0000-0000-0000960E0000}"/>
    <cellStyle name="s_Cal. (2)_1_Comparativo VP TEC 2008_Luiz Sergio" xfId="7480" xr:uid="{00000000-0005-0000-0000-0000970E0000}"/>
    <cellStyle name="s_Cal. (2)_1_Cópia de Modelo - Fluxo de Caixa Orcamento 09052009_V36_3" xfId="2255" xr:uid="{00000000-0005-0000-0000-0000980E0000}"/>
    <cellStyle name="s_Cal. (2)_1_Fluxo de Caixa Orcamento FINAL_13052009" xfId="2256" xr:uid="{00000000-0005-0000-0000-0000990E0000}"/>
    <cellStyle name="s_Cal. (2)_1_FM_dummyV4" xfId="2257" xr:uid="{00000000-0005-0000-0000-00009A0E0000}"/>
    <cellStyle name="s_Cal. (2)_1_lalur" xfId="2258" xr:uid="{00000000-0005-0000-0000-00009B0E0000}"/>
    <cellStyle name="s_Cal. (2)_1_Leasing_V3" xfId="2259" xr:uid="{00000000-0005-0000-0000-00009C0E0000}"/>
    <cellStyle name="s_Cal. (2)_1_MODELO PDP III" xfId="2260" xr:uid="{00000000-0005-0000-0000-00009D0E0000}"/>
    <cellStyle name="s_Cal. (2)_1_ORÇ_2009" xfId="2261" xr:uid="{00000000-0005-0000-0000-00009E0E0000}"/>
    <cellStyle name="s_Cal. (2)_1_Pasta2" xfId="2262" xr:uid="{00000000-0005-0000-0000-00009F0E0000}"/>
    <cellStyle name="s_Cal. (2)_Comparativo VP FIN v1_So 2008" xfId="7481" xr:uid="{00000000-0005-0000-0000-0000A00E0000}"/>
    <cellStyle name="s_Cal. (2)_Comparativo VP MKT 2008 v1_So 2008" xfId="7482" xr:uid="{00000000-0005-0000-0000-0000A10E0000}"/>
    <cellStyle name="s_Cal. (2)_Comparativo VP TEC 2008 v1_So 2008" xfId="7483" xr:uid="{00000000-0005-0000-0000-0000A20E0000}"/>
    <cellStyle name="s_Cal. (2)_Comparativo VP TEC 2008_Luiz Sergio" xfId="7484" xr:uid="{00000000-0005-0000-0000-0000A30E0000}"/>
    <cellStyle name="s_Cal. (2)_Cópia de Modelo - Fluxo de Caixa Orcamento 09052009_V36_3" xfId="2263" xr:uid="{00000000-0005-0000-0000-0000A40E0000}"/>
    <cellStyle name="s_Cal. (2)_Fluxo de Caixa Orcamento FINAL_13052009" xfId="2264" xr:uid="{00000000-0005-0000-0000-0000A50E0000}"/>
    <cellStyle name="s_Cal. (2)_FM_dummyV4" xfId="2265" xr:uid="{00000000-0005-0000-0000-0000A60E0000}"/>
    <cellStyle name="s_Cal. (2)_lalur" xfId="2266" xr:uid="{00000000-0005-0000-0000-0000A70E0000}"/>
    <cellStyle name="s_Cal. (2)_Leasing_V3" xfId="2267" xr:uid="{00000000-0005-0000-0000-0000A80E0000}"/>
    <cellStyle name="s_Cal. (2)_MODELO PDP III" xfId="2268" xr:uid="{00000000-0005-0000-0000-0000A90E0000}"/>
    <cellStyle name="s_Cal. (2)_ORÇ_2009" xfId="2269" xr:uid="{00000000-0005-0000-0000-0000AA0E0000}"/>
    <cellStyle name="s_Cal. (2)_Pasta2" xfId="2270" xr:uid="{00000000-0005-0000-0000-0000AB0E0000}"/>
    <cellStyle name="s_Cases" xfId="2271" xr:uid="{00000000-0005-0000-0000-0000AC0E0000}"/>
    <cellStyle name="s_Cases (2)" xfId="2272" xr:uid="{00000000-0005-0000-0000-0000AD0E0000}"/>
    <cellStyle name="s_Cases (2)_1" xfId="2273" xr:uid="{00000000-0005-0000-0000-0000AE0E0000}"/>
    <cellStyle name="s_Cases (2)_1_Comparativo VP FIN v1_So 2008" xfId="7485" xr:uid="{00000000-0005-0000-0000-0000AF0E0000}"/>
    <cellStyle name="s_Cases (2)_1_Comparativo VP MKT 2008 v1_So 2008" xfId="7486" xr:uid="{00000000-0005-0000-0000-0000B00E0000}"/>
    <cellStyle name="s_Cases (2)_1_Comparativo VP TEC 2008 v1_So 2008" xfId="7487" xr:uid="{00000000-0005-0000-0000-0000B10E0000}"/>
    <cellStyle name="s_Cases (2)_1_Comparativo VP TEC 2008_Luiz Sergio" xfId="7488" xr:uid="{00000000-0005-0000-0000-0000B20E0000}"/>
    <cellStyle name="s_Cases (2)_1_Cópia de Modelo - Fluxo de Caixa Orcamento 09052009_V36_3" xfId="2274" xr:uid="{00000000-0005-0000-0000-0000B30E0000}"/>
    <cellStyle name="s_Cases (2)_1_Fluxo de Caixa Orcamento FINAL_13052009" xfId="2275" xr:uid="{00000000-0005-0000-0000-0000B40E0000}"/>
    <cellStyle name="s_Cases (2)_1_FM_dummyV4" xfId="2276" xr:uid="{00000000-0005-0000-0000-0000B50E0000}"/>
    <cellStyle name="s_Cases (2)_1_lalur" xfId="2277" xr:uid="{00000000-0005-0000-0000-0000B60E0000}"/>
    <cellStyle name="s_Cases (2)_1_Leasing_V3" xfId="2278" xr:uid="{00000000-0005-0000-0000-0000B70E0000}"/>
    <cellStyle name="s_Cases (2)_1_MODELO PDP III" xfId="2279" xr:uid="{00000000-0005-0000-0000-0000B80E0000}"/>
    <cellStyle name="s_Cases (2)_1_ORÇ_2009" xfId="2280" xr:uid="{00000000-0005-0000-0000-0000B90E0000}"/>
    <cellStyle name="s_Cases (2)_1_Pasta2" xfId="2281" xr:uid="{00000000-0005-0000-0000-0000BA0E0000}"/>
    <cellStyle name="s_Cases (2)_Celtic DCF" xfId="2282" xr:uid="{00000000-0005-0000-0000-0000BB0E0000}"/>
    <cellStyle name="s_Cases (2)_Celtic DCF Inputs" xfId="2283" xr:uid="{00000000-0005-0000-0000-0000BC0E0000}"/>
    <cellStyle name="s_Cases (2)_Celtic DCF Inputs_Comparativo VP FIN v1_So 2008" xfId="7489" xr:uid="{00000000-0005-0000-0000-0000BD0E0000}"/>
    <cellStyle name="s_Cases (2)_Celtic DCF Inputs_Comparativo VP MKT 2008 v1_So 2008" xfId="7490" xr:uid="{00000000-0005-0000-0000-0000BE0E0000}"/>
    <cellStyle name="s_Cases (2)_Celtic DCF Inputs_Comparativo VP TEC 2008 v1_So 2008" xfId="7491" xr:uid="{00000000-0005-0000-0000-0000BF0E0000}"/>
    <cellStyle name="s_Cases (2)_Celtic DCF Inputs_Comparativo VP TEC 2008_Luiz Sergio" xfId="7492" xr:uid="{00000000-0005-0000-0000-0000C00E0000}"/>
    <cellStyle name="s_Cases (2)_Celtic DCF Inputs_Cópia de Modelo - Fluxo de Caixa Orcamento 09052009_V36_3" xfId="2284" xr:uid="{00000000-0005-0000-0000-0000C10E0000}"/>
    <cellStyle name="s_Cases (2)_Celtic DCF Inputs_Fluxo de Caixa Orcamento FINAL_13052009" xfId="2285" xr:uid="{00000000-0005-0000-0000-0000C20E0000}"/>
    <cellStyle name="s_Cases (2)_Celtic DCF Inputs_FM_dummyV4" xfId="2286" xr:uid="{00000000-0005-0000-0000-0000C30E0000}"/>
    <cellStyle name="s_Cases (2)_Celtic DCF Inputs_lalur" xfId="2287" xr:uid="{00000000-0005-0000-0000-0000C40E0000}"/>
    <cellStyle name="s_Cases (2)_Celtic DCF Inputs_Leasing_V3" xfId="2288" xr:uid="{00000000-0005-0000-0000-0000C50E0000}"/>
    <cellStyle name="s_Cases (2)_Celtic DCF Inputs_MODELO PDP III" xfId="2289" xr:uid="{00000000-0005-0000-0000-0000C60E0000}"/>
    <cellStyle name="s_Cases (2)_Celtic DCF Inputs_ORÇ_2009" xfId="2290" xr:uid="{00000000-0005-0000-0000-0000C70E0000}"/>
    <cellStyle name="s_Cases (2)_Celtic DCF Inputs_Pasta2" xfId="2291" xr:uid="{00000000-0005-0000-0000-0000C80E0000}"/>
    <cellStyle name="s_Cases (2)_Celtic DCF_Comparativo VP FIN v1_So 2008" xfId="7493" xr:uid="{00000000-0005-0000-0000-0000C90E0000}"/>
    <cellStyle name="s_Cases (2)_Celtic DCF_Comparativo VP MKT 2008 v1_So 2008" xfId="7494" xr:uid="{00000000-0005-0000-0000-0000CA0E0000}"/>
    <cellStyle name="s_Cases (2)_Celtic DCF_Comparativo VP TEC 2008 v1_So 2008" xfId="7495" xr:uid="{00000000-0005-0000-0000-0000CB0E0000}"/>
    <cellStyle name="s_Cases (2)_Celtic DCF_Comparativo VP TEC 2008_Luiz Sergio" xfId="7496" xr:uid="{00000000-0005-0000-0000-0000CC0E0000}"/>
    <cellStyle name="s_Cases (2)_Celtic DCF_Cópia de Modelo - Fluxo de Caixa Orcamento 09052009_V36_3" xfId="2292" xr:uid="{00000000-0005-0000-0000-0000CD0E0000}"/>
    <cellStyle name="s_Cases (2)_Celtic DCF_Fluxo de Caixa Orcamento FINAL_13052009" xfId="2293" xr:uid="{00000000-0005-0000-0000-0000CE0E0000}"/>
    <cellStyle name="s_Cases (2)_Celtic DCF_FM_dummyV4" xfId="2294" xr:uid="{00000000-0005-0000-0000-0000CF0E0000}"/>
    <cellStyle name="s_Cases (2)_Celtic DCF_lalur" xfId="2295" xr:uid="{00000000-0005-0000-0000-0000D00E0000}"/>
    <cellStyle name="s_Cases (2)_Celtic DCF_Leasing_V3" xfId="2296" xr:uid="{00000000-0005-0000-0000-0000D10E0000}"/>
    <cellStyle name="s_Cases (2)_Celtic DCF_MODELO PDP III" xfId="2297" xr:uid="{00000000-0005-0000-0000-0000D20E0000}"/>
    <cellStyle name="s_Cases (2)_Celtic DCF_ORÇ_2009" xfId="2298" xr:uid="{00000000-0005-0000-0000-0000D30E0000}"/>
    <cellStyle name="s_Cases (2)_Celtic DCF_Pasta2" xfId="2299" xr:uid="{00000000-0005-0000-0000-0000D40E0000}"/>
    <cellStyle name="s_Cases (2)_Comparativo VP FIN v1_So 2008" xfId="7497" xr:uid="{00000000-0005-0000-0000-0000D50E0000}"/>
    <cellStyle name="s_Cases (2)_Comparativo VP MKT 2008 v1_So 2008" xfId="7498" xr:uid="{00000000-0005-0000-0000-0000D60E0000}"/>
    <cellStyle name="s_Cases (2)_Comparativo VP TEC 2008 v1_So 2008" xfId="7499" xr:uid="{00000000-0005-0000-0000-0000D70E0000}"/>
    <cellStyle name="s_Cases (2)_Comparativo VP TEC 2008_Luiz Sergio" xfId="7500" xr:uid="{00000000-0005-0000-0000-0000D80E0000}"/>
    <cellStyle name="s_Cases (2)_Cópia de Modelo - Fluxo de Caixa Orcamento 09052009_V36_3" xfId="2300" xr:uid="{00000000-0005-0000-0000-0000D90E0000}"/>
    <cellStyle name="s_Cases (2)_Fluxo de Caixa Orcamento FINAL_13052009" xfId="2301" xr:uid="{00000000-0005-0000-0000-0000DA0E0000}"/>
    <cellStyle name="s_Cases (2)_FM_dummyV4" xfId="2302" xr:uid="{00000000-0005-0000-0000-0000DB0E0000}"/>
    <cellStyle name="s_Cases (2)_lalur" xfId="2303" xr:uid="{00000000-0005-0000-0000-0000DC0E0000}"/>
    <cellStyle name="s_Cases (2)_Leasing_V3" xfId="2304" xr:uid="{00000000-0005-0000-0000-0000DD0E0000}"/>
    <cellStyle name="s_Cases (2)_MODELO PDP III" xfId="2305" xr:uid="{00000000-0005-0000-0000-0000DE0E0000}"/>
    <cellStyle name="s_Cases (2)_ORÇ_2009" xfId="2306" xr:uid="{00000000-0005-0000-0000-0000DF0E0000}"/>
    <cellStyle name="s_Cases (2)_Pasta2" xfId="2307" xr:uid="{00000000-0005-0000-0000-0000E00E0000}"/>
    <cellStyle name="s_Cases (2)_Valuation Summary" xfId="2308" xr:uid="{00000000-0005-0000-0000-0000E10E0000}"/>
    <cellStyle name="s_Cases (2)_Valuation Summary_Comparativo VP FIN v1_So 2008" xfId="7501" xr:uid="{00000000-0005-0000-0000-0000E20E0000}"/>
    <cellStyle name="s_Cases (2)_Valuation Summary_Comparativo VP MKT 2008 v1_So 2008" xfId="7502" xr:uid="{00000000-0005-0000-0000-0000E30E0000}"/>
    <cellStyle name="s_Cases (2)_Valuation Summary_Comparativo VP TEC 2008 v1_So 2008" xfId="7503" xr:uid="{00000000-0005-0000-0000-0000E40E0000}"/>
    <cellStyle name="s_Cases (2)_Valuation Summary_Comparativo VP TEC 2008_Luiz Sergio" xfId="7504" xr:uid="{00000000-0005-0000-0000-0000E50E0000}"/>
    <cellStyle name="s_Cases (2)_Valuation Summary_Cópia de Modelo - Fluxo de Caixa Orcamento 09052009_V36_3" xfId="2309" xr:uid="{00000000-0005-0000-0000-0000E60E0000}"/>
    <cellStyle name="s_Cases (2)_Valuation Summary_Fluxo de Caixa Orcamento FINAL_13052009" xfId="2310" xr:uid="{00000000-0005-0000-0000-0000E70E0000}"/>
    <cellStyle name="s_Cases (2)_Valuation Summary_FM_dummyV4" xfId="2311" xr:uid="{00000000-0005-0000-0000-0000E80E0000}"/>
    <cellStyle name="s_Cases (2)_Valuation Summary_lalur" xfId="2312" xr:uid="{00000000-0005-0000-0000-0000E90E0000}"/>
    <cellStyle name="s_Cases (2)_Valuation Summary_Leasing_V3" xfId="2313" xr:uid="{00000000-0005-0000-0000-0000EA0E0000}"/>
    <cellStyle name="s_Cases (2)_Valuation Summary_MODELO PDP III" xfId="2314" xr:uid="{00000000-0005-0000-0000-0000EB0E0000}"/>
    <cellStyle name="s_Cases (2)_Valuation Summary_ORÇ_2009" xfId="2315" xr:uid="{00000000-0005-0000-0000-0000EC0E0000}"/>
    <cellStyle name="s_Cases (2)_Valuation Summary_Pasta2" xfId="2316" xr:uid="{00000000-0005-0000-0000-0000ED0E0000}"/>
    <cellStyle name="s_Cases_1" xfId="2317" xr:uid="{00000000-0005-0000-0000-0000EE0E0000}"/>
    <cellStyle name="s_Cases_1_Comparativo VP FIN v1_So 2008" xfId="7505" xr:uid="{00000000-0005-0000-0000-0000EF0E0000}"/>
    <cellStyle name="s_Cases_1_Comparativo VP MKT 2008 v1_So 2008" xfId="7506" xr:uid="{00000000-0005-0000-0000-0000F00E0000}"/>
    <cellStyle name="s_Cases_1_Comparativo VP TEC 2008 v1_So 2008" xfId="7507" xr:uid="{00000000-0005-0000-0000-0000F10E0000}"/>
    <cellStyle name="s_Cases_1_Comparativo VP TEC 2008_Luiz Sergio" xfId="7508" xr:uid="{00000000-0005-0000-0000-0000F20E0000}"/>
    <cellStyle name="s_Cases_1_Cópia de Modelo - Fluxo de Caixa Orcamento 09052009_V36_3" xfId="2318" xr:uid="{00000000-0005-0000-0000-0000F30E0000}"/>
    <cellStyle name="s_Cases_1_Fluxo de Caixa Orcamento FINAL_13052009" xfId="2319" xr:uid="{00000000-0005-0000-0000-0000F40E0000}"/>
    <cellStyle name="s_Cases_1_FM_dummyV4" xfId="2320" xr:uid="{00000000-0005-0000-0000-0000F50E0000}"/>
    <cellStyle name="s_Cases_1_lalur" xfId="2321" xr:uid="{00000000-0005-0000-0000-0000F60E0000}"/>
    <cellStyle name="s_Cases_1_Leasing_V3" xfId="2322" xr:uid="{00000000-0005-0000-0000-0000F70E0000}"/>
    <cellStyle name="s_Cases_1_MODELO PDP III" xfId="2323" xr:uid="{00000000-0005-0000-0000-0000F80E0000}"/>
    <cellStyle name="s_Cases_1_ORÇ_2009" xfId="2324" xr:uid="{00000000-0005-0000-0000-0000F90E0000}"/>
    <cellStyle name="s_Cases_1_Pasta2" xfId="2325" xr:uid="{00000000-0005-0000-0000-0000FA0E0000}"/>
    <cellStyle name="s_Cases_2" xfId="2326" xr:uid="{00000000-0005-0000-0000-0000FB0E0000}"/>
    <cellStyle name="s_Cases_2_Comparativo VP FIN v1_So 2008" xfId="7509" xr:uid="{00000000-0005-0000-0000-0000FC0E0000}"/>
    <cellStyle name="s_Cases_2_Comparativo VP MKT 2008 v1_So 2008" xfId="7510" xr:uid="{00000000-0005-0000-0000-0000FD0E0000}"/>
    <cellStyle name="s_Cases_2_Comparativo VP TEC 2008 v1_So 2008" xfId="7511" xr:uid="{00000000-0005-0000-0000-0000FE0E0000}"/>
    <cellStyle name="s_Cases_2_Comparativo VP TEC 2008_Luiz Sergio" xfId="7512" xr:uid="{00000000-0005-0000-0000-0000FF0E0000}"/>
    <cellStyle name="s_Cases_2_Cópia de Modelo - Fluxo de Caixa Orcamento 09052009_V36_3" xfId="2327" xr:uid="{00000000-0005-0000-0000-0000000F0000}"/>
    <cellStyle name="s_Cases_2_Fluxo de Caixa Orcamento FINAL_13052009" xfId="2328" xr:uid="{00000000-0005-0000-0000-0000010F0000}"/>
    <cellStyle name="s_Cases_2_FM_dummyV4" xfId="2329" xr:uid="{00000000-0005-0000-0000-0000020F0000}"/>
    <cellStyle name="s_Cases_2_lalur" xfId="2330" xr:uid="{00000000-0005-0000-0000-0000030F0000}"/>
    <cellStyle name="s_Cases_2_Leasing_V3" xfId="2331" xr:uid="{00000000-0005-0000-0000-0000040F0000}"/>
    <cellStyle name="s_Cases_2_MODELO PDP III" xfId="2332" xr:uid="{00000000-0005-0000-0000-0000050F0000}"/>
    <cellStyle name="s_Cases_2_ORÇ_2009" xfId="2333" xr:uid="{00000000-0005-0000-0000-0000060F0000}"/>
    <cellStyle name="s_Cases_2_Pasta2" xfId="2334" xr:uid="{00000000-0005-0000-0000-0000070F0000}"/>
    <cellStyle name="s_Cases_AM0909" xfId="2335" xr:uid="{00000000-0005-0000-0000-0000080F0000}"/>
    <cellStyle name="s_Cases_AM0909_Comparativo VP FIN v1_So 2008" xfId="7513" xr:uid="{00000000-0005-0000-0000-0000090F0000}"/>
    <cellStyle name="s_Cases_AM0909_Comparativo VP MKT 2008 v1_So 2008" xfId="7514" xr:uid="{00000000-0005-0000-0000-00000A0F0000}"/>
    <cellStyle name="s_Cases_AM0909_Comparativo VP TEC 2008 v1_So 2008" xfId="7515" xr:uid="{00000000-0005-0000-0000-00000B0F0000}"/>
    <cellStyle name="s_Cases_AM0909_Comparativo VP TEC 2008_Luiz Sergio" xfId="7516" xr:uid="{00000000-0005-0000-0000-00000C0F0000}"/>
    <cellStyle name="s_Cases_AM0909_Cópia de Modelo - Fluxo de Caixa Orcamento 09052009_V36_3" xfId="2336" xr:uid="{00000000-0005-0000-0000-00000D0F0000}"/>
    <cellStyle name="s_Cases_AM0909_Fluxo de Caixa Orcamento FINAL_13052009" xfId="2337" xr:uid="{00000000-0005-0000-0000-00000E0F0000}"/>
    <cellStyle name="s_Cases_AM0909_FM_dummyV4" xfId="2338" xr:uid="{00000000-0005-0000-0000-00000F0F0000}"/>
    <cellStyle name="s_Cases_AM0909_lalur" xfId="2339" xr:uid="{00000000-0005-0000-0000-0000100F0000}"/>
    <cellStyle name="s_Cases_AM0909_Leasing_V3" xfId="2340" xr:uid="{00000000-0005-0000-0000-0000110F0000}"/>
    <cellStyle name="s_Cases_AM0909_MODELO PDP III" xfId="2341" xr:uid="{00000000-0005-0000-0000-0000120F0000}"/>
    <cellStyle name="s_Cases_AM0909_ORÇ_2009" xfId="2342" xr:uid="{00000000-0005-0000-0000-0000130F0000}"/>
    <cellStyle name="s_Cases_AM0909_Pasta2" xfId="2343" xr:uid="{00000000-0005-0000-0000-0000140F0000}"/>
    <cellStyle name="s_Cases_Brenner" xfId="2344" xr:uid="{00000000-0005-0000-0000-0000150F0000}"/>
    <cellStyle name="s_Cases_Brenner_Comparativo VP FIN v1_So 2008" xfId="7517" xr:uid="{00000000-0005-0000-0000-0000160F0000}"/>
    <cellStyle name="s_Cases_Brenner_Comparativo VP MKT 2008 v1_So 2008" xfId="7518" xr:uid="{00000000-0005-0000-0000-0000170F0000}"/>
    <cellStyle name="s_Cases_Brenner_Comparativo VP TEC 2008 v1_So 2008" xfId="7519" xr:uid="{00000000-0005-0000-0000-0000180F0000}"/>
    <cellStyle name="s_Cases_Brenner_Comparativo VP TEC 2008_Luiz Sergio" xfId="7520" xr:uid="{00000000-0005-0000-0000-0000190F0000}"/>
    <cellStyle name="s_Cases_Brenner_Cópia de Modelo - Fluxo de Caixa Orcamento 09052009_V36_3" xfId="2345" xr:uid="{00000000-0005-0000-0000-00001A0F0000}"/>
    <cellStyle name="s_Cases_Brenner_Fluxo de Caixa Orcamento FINAL_13052009" xfId="2346" xr:uid="{00000000-0005-0000-0000-00001B0F0000}"/>
    <cellStyle name="s_Cases_Brenner_FM_dummyV4" xfId="2347" xr:uid="{00000000-0005-0000-0000-00001C0F0000}"/>
    <cellStyle name="s_Cases_Brenner_lalur" xfId="2348" xr:uid="{00000000-0005-0000-0000-00001D0F0000}"/>
    <cellStyle name="s_Cases_Brenner_Leasing_V3" xfId="2349" xr:uid="{00000000-0005-0000-0000-00001E0F0000}"/>
    <cellStyle name="s_Cases_Brenner_MODELO PDP III" xfId="2350" xr:uid="{00000000-0005-0000-0000-00001F0F0000}"/>
    <cellStyle name="s_Cases_Brenner_ORÇ_2009" xfId="2351" xr:uid="{00000000-0005-0000-0000-0000200F0000}"/>
    <cellStyle name="s_Cases_Brenner_Pasta2" xfId="2352" xr:uid="{00000000-0005-0000-0000-0000210F0000}"/>
    <cellStyle name="s_Cases_Comparativo VP FIN v1_So 2008" xfId="7521" xr:uid="{00000000-0005-0000-0000-0000220F0000}"/>
    <cellStyle name="s_Cases_Comparativo VP MKT 2008 v1_So 2008" xfId="7522" xr:uid="{00000000-0005-0000-0000-0000230F0000}"/>
    <cellStyle name="s_Cases_Comparativo VP TEC 2008 v1_So 2008" xfId="7523" xr:uid="{00000000-0005-0000-0000-0000240F0000}"/>
    <cellStyle name="s_Cases_Comparativo VP TEC 2008_Luiz Sergio" xfId="7524" xr:uid="{00000000-0005-0000-0000-0000250F0000}"/>
    <cellStyle name="s_Cases_Cópia de Modelo - Fluxo de Caixa Orcamento 09052009_V36_3" xfId="2353" xr:uid="{00000000-0005-0000-0000-0000260F0000}"/>
    <cellStyle name="s_Cases_Fluxo de Caixa Orcamento FINAL_13052009" xfId="2354" xr:uid="{00000000-0005-0000-0000-0000270F0000}"/>
    <cellStyle name="s_Cases_FM_dummyV4" xfId="2355" xr:uid="{00000000-0005-0000-0000-0000280F0000}"/>
    <cellStyle name="s_Cases_lalur" xfId="2356" xr:uid="{00000000-0005-0000-0000-0000290F0000}"/>
    <cellStyle name="s_Cases_Leasing_V3" xfId="2357" xr:uid="{00000000-0005-0000-0000-00002A0F0000}"/>
    <cellStyle name="s_Cases_MODELO PDP III" xfId="2358" xr:uid="{00000000-0005-0000-0000-00002B0F0000}"/>
    <cellStyle name="s_Cases_ORÇ_2009" xfId="2359" xr:uid="{00000000-0005-0000-0000-00002C0F0000}"/>
    <cellStyle name="s_Cases_Pasta2" xfId="2360" xr:uid="{00000000-0005-0000-0000-00002D0F0000}"/>
    <cellStyle name="s_Caterpillar" xfId="2361" xr:uid="{00000000-0005-0000-0000-00002E0F0000}"/>
    <cellStyle name="s_Caterpillar_Comparativo VP FIN v1_So 2008" xfId="7525" xr:uid="{00000000-0005-0000-0000-00002F0F0000}"/>
    <cellStyle name="s_Caterpillar_Comparativo VP MKT 2008 v1_So 2008" xfId="7526" xr:uid="{00000000-0005-0000-0000-0000300F0000}"/>
    <cellStyle name="s_Caterpillar_Comparativo VP TEC 2008 v1_So 2008" xfId="7527" xr:uid="{00000000-0005-0000-0000-0000310F0000}"/>
    <cellStyle name="s_Caterpillar_Comparativo VP TEC 2008_Luiz Sergio" xfId="7528" xr:uid="{00000000-0005-0000-0000-0000320F0000}"/>
    <cellStyle name="s_Caterpillar_Cópia de Modelo - Fluxo de Caixa Orcamento 09052009_V36_3" xfId="2362" xr:uid="{00000000-0005-0000-0000-0000330F0000}"/>
    <cellStyle name="s_Caterpillar_Fluxo de Caixa Orcamento FINAL_13052009" xfId="2363" xr:uid="{00000000-0005-0000-0000-0000340F0000}"/>
    <cellStyle name="s_Caterpillar_FM_dummyV4" xfId="2364" xr:uid="{00000000-0005-0000-0000-0000350F0000}"/>
    <cellStyle name="s_Caterpillar_lalur" xfId="2365" xr:uid="{00000000-0005-0000-0000-0000360F0000}"/>
    <cellStyle name="s_Caterpillar_Leasing_V3" xfId="2366" xr:uid="{00000000-0005-0000-0000-0000370F0000}"/>
    <cellStyle name="s_Caterpillar_MODELO PDP III" xfId="2367" xr:uid="{00000000-0005-0000-0000-0000380F0000}"/>
    <cellStyle name="s_Caterpillar_ORÇ_2009" xfId="2368" xr:uid="{00000000-0005-0000-0000-0000390F0000}"/>
    <cellStyle name="s_Caterpillar_Pasta2" xfId="2369" xr:uid="{00000000-0005-0000-0000-00003A0F0000}"/>
    <cellStyle name="s_Celtic DCF" xfId="2370" xr:uid="{00000000-0005-0000-0000-00003B0F0000}"/>
    <cellStyle name="s_Celtic DCF Inputs" xfId="2371" xr:uid="{00000000-0005-0000-0000-00003C0F0000}"/>
    <cellStyle name="s_Celtic DCF Inputs_1" xfId="2372" xr:uid="{00000000-0005-0000-0000-00003D0F0000}"/>
    <cellStyle name="s_Celtic DCF Inputs_1_Comparativo VP FIN v1_So 2008" xfId="7529" xr:uid="{00000000-0005-0000-0000-00003E0F0000}"/>
    <cellStyle name="s_Celtic DCF Inputs_1_Comparativo VP MKT 2008 v1_So 2008" xfId="7530" xr:uid="{00000000-0005-0000-0000-00003F0F0000}"/>
    <cellStyle name="s_Celtic DCF Inputs_1_Comparativo VP TEC 2008 v1_So 2008" xfId="7531" xr:uid="{00000000-0005-0000-0000-0000400F0000}"/>
    <cellStyle name="s_Celtic DCF Inputs_1_Comparativo VP TEC 2008_Luiz Sergio" xfId="7532" xr:uid="{00000000-0005-0000-0000-0000410F0000}"/>
    <cellStyle name="s_Celtic DCF Inputs_1_Cópia de Modelo - Fluxo de Caixa Orcamento 09052009_V36_3" xfId="2373" xr:uid="{00000000-0005-0000-0000-0000420F0000}"/>
    <cellStyle name="s_Celtic DCF Inputs_1_Fluxo de Caixa Orcamento FINAL_13052009" xfId="2374" xr:uid="{00000000-0005-0000-0000-0000430F0000}"/>
    <cellStyle name="s_Celtic DCF Inputs_1_FM_dummyV4" xfId="2375" xr:uid="{00000000-0005-0000-0000-0000440F0000}"/>
    <cellStyle name="s_Celtic DCF Inputs_1_lalur" xfId="2376" xr:uid="{00000000-0005-0000-0000-0000450F0000}"/>
    <cellStyle name="s_Celtic DCF Inputs_1_Leasing_V3" xfId="2377" xr:uid="{00000000-0005-0000-0000-0000460F0000}"/>
    <cellStyle name="s_Celtic DCF Inputs_1_MODELO PDP III" xfId="2378" xr:uid="{00000000-0005-0000-0000-0000470F0000}"/>
    <cellStyle name="s_Celtic DCF Inputs_1_ORÇ_2009" xfId="2379" xr:uid="{00000000-0005-0000-0000-0000480F0000}"/>
    <cellStyle name="s_Celtic DCF Inputs_1_Pasta2" xfId="2380" xr:uid="{00000000-0005-0000-0000-0000490F0000}"/>
    <cellStyle name="s_Celtic DCF Inputs_Comparativo VP FIN v1_So 2008" xfId="7533" xr:uid="{00000000-0005-0000-0000-00004A0F0000}"/>
    <cellStyle name="s_Celtic DCF Inputs_Comparativo VP MKT 2008 v1_So 2008" xfId="7534" xr:uid="{00000000-0005-0000-0000-00004B0F0000}"/>
    <cellStyle name="s_Celtic DCF Inputs_Comparativo VP TEC 2008 v1_So 2008" xfId="7535" xr:uid="{00000000-0005-0000-0000-00004C0F0000}"/>
    <cellStyle name="s_Celtic DCF Inputs_Comparativo VP TEC 2008_Luiz Sergio" xfId="7536" xr:uid="{00000000-0005-0000-0000-00004D0F0000}"/>
    <cellStyle name="s_Celtic DCF Inputs_Cópia de Modelo - Fluxo de Caixa Orcamento 09052009_V36_3" xfId="2381" xr:uid="{00000000-0005-0000-0000-00004E0F0000}"/>
    <cellStyle name="s_Celtic DCF Inputs_Fluxo de Caixa Orcamento FINAL_13052009" xfId="2382" xr:uid="{00000000-0005-0000-0000-00004F0F0000}"/>
    <cellStyle name="s_Celtic DCF Inputs_FM_dummyV4" xfId="2383" xr:uid="{00000000-0005-0000-0000-0000500F0000}"/>
    <cellStyle name="s_Celtic DCF Inputs_lalur" xfId="2384" xr:uid="{00000000-0005-0000-0000-0000510F0000}"/>
    <cellStyle name="s_Celtic DCF Inputs_Leasing_V3" xfId="2385" xr:uid="{00000000-0005-0000-0000-0000520F0000}"/>
    <cellStyle name="s_Celtic DCF Inputs_MODELO PDP III" xfId="2386" xr:uid="{00000000-0005-0000-0000-0000530F0000}"/>
    <cellStyle name="s_Celtic DCF Inputs_ORÇ_2009" xfId="2387" xr:uid="{00000000-0005-0000-0000-0000540F0000}"/>
    <cellStyle name="s_Celtic DCF Inputs_Pasta2" xfId="2388" xr:uid="{00000000-0005-0000-0000-0000550F0000}"/>
    <cellStyle name="s_Celtic DCF_1" xfId="2389" xr:uid="{00000000-0005-0000-0000-0000560F0000}"/>
    <cellStyle name="s_Celtic DCF_1_Comparativo VP FIN v1_So 2008" xfId="7537" xr:uid="{00000000-0005-0000-0000-0000570F0000}"/>
    <cellStyle name="s_Celtic DCF_1_Comparativo VP MKT 2008 v1_So 2008" xfId="7538" xr:uid="{00000000-0005-0000-0000-0000580F0000}"/>
    <cellStyle name="s_Celtic DCF_1_Comparativo VP TEC 2008 v1_So 2008" xfId="7539" xr:uid="{00000000-0005-0000-0000-0000590F0000}"/>
    <cellStyle name="s_Celtic DCF_1_Comparativo VP TEC 2008_Luiz Sergio" xfId="7540" xr:uid="{00000000-0005-0000-0000-00005A0F0000}"/>
    <cellStyle name="s_Celtic DCF_1_Cópia de Modelo - Fluxo de Caixa Orcamento 09052009_V36_3" xfId="2390" xr:uid="{00000000-0005-0000-0000-00005B0F0000}"/>
    <cellStyle name="s_Celtic DCF_1_Fluxo de Caixa Orcamento FINAL_13052009" xfId="2391" xr:uid="{00000000-0005-0000-0000-00005C0F0000}"/>
    <cellStyle name="s_Celtic DCF_1_FM_dummyV4" xfId="2392" xr:uid="{00000000-0005-0000-0000-00005D0F0000}"/>
    <cellStyle name="s_Celtic DCF_1_lalur" xfId="2393" xr:uid="{00000000-0005-0000-0000-00005E0F0000}"/>
    <cellStyle name="s_Celtic DCF_1_Leasing_V3" xfId="2394" xr:uid="{00000000-0005-0000-0000-00005F0F0000}"/>
    <cellStyle name="s_Celtic DCF_1_MODELO PDP III" xfId="2395" xr:uid="{00000000-0005-0000-0000-0000600F0000}"/>
    <cellStyle name="s_Celtic DCF_1_ORÇ_2009" xfId="2396" xr:uid="{00000000-0005-0000-0000-0000610F0000}"/>
    <cellStyle name="s_Celtic DCF_1_Pasta2" xfId="2397" xr:uid="{00000000-0005-0000-0000-0000620F0000}"/>
    <cellStyle name="s_Celtic DCF_Comparativo VP FIN v1_So 2008" xfId="7541" xr:uid="{00000000-0005-0000-0000-0000630F0000}"/>
    <cellStyle name="s_Celtic DCF_Comparativo VP MKT 2008 v1_So 2008" xfId="7542" xr:uid="{00000000-0005-0000-0000-0000640F0000}"/>
    <cellStyle name="s_Celtic DCF_Comparativo VP TEC 2008 v1_So 2008" xfId="7543" xr:uid="{00000000-0005-0000-0000-0000650F0000}"/>
    <cellStyle name="s_Celtic DCF_Comparativo VP TEC 2008_Luiz Sergio" xfId="7544" xr:uid="{00000000-0005-0000-0000-0000660F0000}"/>
    <cellStyle name="s_Celtic DCF_Cópia de Modelo - Fluxo de Caixa Orcamento 09052009_V36_3" xfId="2398" xr:uid="{00000000-0005-0000-0000-0000670F0000}"/>
    <cellStyle name="s_Celtic DCF_Fluxo de Caixa Orcamento FINAL_13052009" xfId="2399" xr:uid="{00000000-0005-0000-0000-0000680F0000}"/>
    <cellStyle name="s_Celtic DCF_FM_dummyV4" xfId="2400" xr:uid="{00000000-0005-0000-0000-0000690F0000}"/>
    <cellStyle name="s_Celtic DCF_lalur" xfId="2401" xr:uid="{00000000-0005-0000-0000-00006A0F0000}"/>
    <cellStyle name="s_Celtic DCF_Leasing_V3" xfId="2402" xr:uid="{00000000-0005-0000-0000-00006B0F0000}"/>
    <cellStyle name="s_Celtic DCF_MODELO PDP III" xfId="2403" xr:uid="{00000000-0005-0000-0000-00006C0F0000}"/>
    <cellStyle name="s_Celtic DCF_ORÇ_2009" xfId="2404" xr:uid="{00000000-0005-0000-0000-00006D0F0000}"/>
    <cellStyle name="s_Celtic DCF_Pasta2" xfId="2405" xr:uid="{00000000-0005-0000-0000-00006E0F0000}"/>
    <cellStyle name="s_Comparativo VP FIN v1_So 2008" xfId="7545" xr:uid="{00000000-0005-0000-0000-00006F0F0000}"/>
    <cellStyle name="s_Comparativo VP MKT 2008 v1_So 2008" xfId="7546" xr:uid="{00000000-0005-0000-0000-0000700F0000}"/>
    <cellStyle name="s_Comparativo VP TEC 2008 v1_So 2008" xfId="7547" xr:uid="{00000000-0005-0000-0000-0000710F0000}"/>
    <cellStyle name="s_Comparativo VP TEC 2008_Luiz Sergio" xfId="7548" xr:uid="{00000000-0005-0000-0000-0000720F0000}"/>
    <cellStyle name="s_Controle - Dívidas_Orcamento" xfId="7549" xr:uid="{00000000-0005-0000-0000-0000730F0000}"/>
    <cellStyle name="s_Cópia de Modelo - Fluxo de Caixa Orcamento 09052009_V36_3" xfId="2406" xr:uid="{00000000-0005-0000-0000-0000740F0000}"/>
    <cellStyle name="s_Credit (2)" xfId="2407" xr:uid="{00000000-0005-0000-0000-0000750F0000}"/>
    <cellStyle name="s_Credit (2)_1" xfId="2408" xr:uid="{00000000-0005-0000-0000-0000760F0000}"/>
    <cellStyle name="s_Credit (2)_1_Comparativo VP FIN v1_So 2008" xfId="7550" xr:uid="{00000000-0005-0000-0000-0000770F0000}"/>
    <cellStyle name="s_Credit (2)_1_Comparativo VP MKT 2008 v1_So 2008" xfId="7551" xr:uid="{00000000-0005-0000-0000-0000780F0000}"/>
    <cellStyle name="s_Credit (2)_1_Comparativo VP TEC 2008 v1_So 2008" xfId="7552" xr:uid="{00000000-0005-0000-0000-0000790F0000}"/>
    <cellStyle name="s_Credit (2)_1_Comparativo VP TEC 2008_Luiz Sergio" xfId="7553" xr:uid="{00000000-0005-0000-0000-00007A0F0000}"/>
    <cellStyle name="s_Credit (2)_1_Cópia de Modelo - Fluxo de Caixa Orcamento 09052009_V36_3" xfId="2409" xr:uid="{00000000-0005-0000-0000-00007B0F0000}"/>
    <cellStyle name="s_Credit (2)_1_Fluxo de Caixa Orcamento FINAL_13052009" xfId="2410" xr:uid="{00000000-0005-0000-0000-00007C0F0000}"/>
    <cellStyle name="s_Credit (2)_1_FM_dummyV4" xfId="2411" xr:uid="{00000000-0005-0000-0000-00007D0F0000}"/>
    <cellStyle name="s_Credit (2)_1_lalur" xfId="2412" xr:uid="{00000000-0005-0000-0000-00007E0F0000}"/>
    <cellStyle name="s_Credit (2)_1_Leasing_V3" xfId="2413" xr:uid="{00000000-0005-0000-0000-00007F0F0000}"/>
    <cellStyle name="s_Credit (2)_1_MODELO PDP III" xfId="2414" xr:uid="{00000000-0005-0000-0000-0000800F0000}"/>
    <cellStyle name="s_Credit (2)_1_ORÇ_2009" xfId="2415" xr:uid="{00000000-0005-0000-0000-0000810F0000}"/>
    <cellStyle name="s_Credit (2)_1_Pasta2" xfId="2416" xr:uid="{00000000-0005-0000-0000-0000820F0000}"/>
    <cellStyle name="s_Credit (2)_2" xfId="2417" xr:uid="{00000000-0005-0000-0000-0000830F0000}"/>
    <cellStyle name="s_Credit (2)_2_Comparativo VP FIN v1_So 2008" xfId="7554" xr:uid="{00000000-0005-0000-0000-0000840F0000}"/>
    <cellStyle name="s_Credit (2)_2_Comparativo VP MKT 2008 v1_So 2008" xfId="7555" xr:uid="{00000000-0005-0000-0000-0000850F0000}"/>
    <cellStyle name="s_Credit (2)_2_Comparativo VP TEC 2008 v1_So 2008" xfId="7556" xr:uid="{00000000-0005-0000-0000-0000860F0000}"/>
    <cellStyle name="s_Credit (2)_2_Comparativo VP TEC 2008_Luiz Sergio" xfId="7557" xr:uid="{00000000-0005-0000-0000-0000870F0000}"/>
    <cellStyle name="s_Credit (2)_2_Cópia de Modelo - Fluxo de Caixa Orcamento 09052009_V36_3" xfId="2418" xr:uid="{00000000-0005-0000-0000-0000880F0000}"/>
    <cellStyle name="s_Credit (2)_2_Fluxo de Caixa Orcamento FINAL_13052009" xfId="2419" xr:uid="{00000000-0005-0000-0000-0000890F0000}"/>
    <cellStyle name="s_Credit (2)_2_FM_dummyV4" xfId="2420" xr:uid="{00000000-0005-0000-0000-00008A0F0000}"/>
    <cellStyle name="s_Credit (2)_2_lalur" xfId="2421" xr:uid="{00000000-0005-0000-0000-00008B0F0000}"/>
    <cellStyle name="s_Credit (2)_2_Leasing_V3" xfId="2422" xr:uid="{00000000-0005-0000-0000-00008C0F0000}"/>
    <cellStyle name="s_Credit (2)_2_MODELO PDP III" xfId="2423" xr:uid="{00000000-0005-0000-0000-00008D0F0000}"/>
    <cellStyle name="s_Credit (2)_2_ORÇ_2009" xfId="2424" xr:uid="{00000000-0005-0000-0000-00008E0F0000}"/>
    <cellStyle name="s_Credit (2)_2_Pasta2" xfId="2425" xr:uid="{00000000-0005-0000-0000-00008F0F0000}"/>
    <cellStyle name="s_Credit (2)_Comparativo VP FIN v1_So 2008" xfId="7558" xr:uid="{00000000-0005-0000-0000-0000900F0000}"/>
    <cellStyle name="s_Credit (2)_Comparativo VP MKT 2008 v1_So 2008" xfId="7559" xr:uid="{00000000-0005-0000-0000-0000910F0000}"/>
    <cellStyle name="s_Credit (2)_Comparativo VP TEC 2008 v1_So 2008" xfId="7560" xr:uid="{00000000-0005-0000-0000-0000920F0000}"/>
    <cellStyle name="s_Credit (2)_Comparativo VP TEC 2008_Luiz Sergio" xfId="7561" xr:uid="{00000000-0005-0000-0000-0000930F0000}"/>
    <cellStyle name="s_Credit (2)_Cópia de Modelo - Fluxo de Caixa Orcamento 09052009_V36_3" xfId="2426" xr:uid="{00000000-0005-0000-0000-0000940F0000}"/>
    <cellStyle name="s_Credit (2)_Fluxo de Caixa Orcamento FINAL_13052009" xfId="2427" xr:uid="{00000000-0005-0000-0000-0000950F0000}"/>
    <cellStyle name="s_Credit (2)_FM_dummyV4" xfId="2428" xr:uid="{00000000-0005-0000-0000-0000960F0000}"/>
    <cellStyle name="s_Credit (2)_lalur" xfId="2429" xr:uid="{00000000-0005-0000-0000-0000970F0000}"/>
    <cellStyle name="s_Credit (2)_Leasing_V3" xfId="2430" xr:uid="{00000000-0005-0000-0000-0000980F0000}"/>
    <cellStyle name="s_Credit (2)_MODELO PDP III" xfId="2431" xr:uid="{00000000-0005-0000-0000-0000990F0000}"/>
    <cellStyle name="s_Credit (2)_ORÇ_2009" xfId="2432" xr:uid="{00000000-0005-0000-0000-00009A0F0000}"/>
    <cellStyle name="s_Credit (2)_Pasta2" xfId="2433" xr:uid="{00000000-0005-0000-0000-00009B0F0000}"/>
    <cellStyle name="s_Credit Buildup (2)" xfId="2434" xr:uid="{00000000-0005-0000-0000-00009C0F0000}"/>
    <cellStyle name="s_Credit Buildup (2)_1" xfId="2435" xr:uid="{00000000-0005-0000-0000-00009D0F0000}"/>
    <cellStyle name="s_Credit Buildup (2)_1_Comparativo VP FIN v1_So 2008" xfId="7562" xr:uid="{00000000-0005-0000-0000-00009E0F0000}"/>
    <cellStyle name="s_Credit Buildup (2)_1_Comparativo VP MKT 2008 v1_So 2008" xfId="7563" xr:uid="{00000000-0005-0000-0000-00009F0F0000}"/>
    <cellStyle name="s_Credit Buildup (2)_1_Comparativo VP TEC 2008 v1_So 2008" xfId="7564" xr:uid="{00000000-0005-0000-0000-0000A00F0000}"/>
    <cellStyle name="s_Credit Buildup (2)_1_Comparativo VP TEC 2008_Luiz Sergio" xfId="7565" xr:uid="{00000000-0005-0000-0000-0000A10F0000}"/>
    <cellStyle name="s_Credit Buildup (2)_1_Cópia de Modelo - Fluxo de Caixa Orcamento 09052009_V36_3" xfId="2436" xr:uid="{00000000-0005-0000-0000-0000A20F0000}"/>
    <cellStyle name="s_Credit Buildup (2)_1_Fluxo de Caixa Orcamento FINAL_13052009" xfId="2437" xr:uid="{00000000-0005-0000-0000-0000A30F0000}"/>
    <cellStyle name="s_Credit Buildup (2)_1_FM_dummyV4" xfId="2438" xr:uid="{00000000-0005-0000-0000-0000A40F0000}"/>
    <cellStyle name="s_Credit Buildup (2)_1_lalur" xfId="2439" xr:uid="{00000000-0005-0000-0000-0000A50F0000}"/>
    <cellStyle name="s_Credit Buildup (2)_1_Leasing_V3" xfId="2440" xr:uid="{00000000-0005-0000-0000-0000A60F0000}"/>
    <cellStyle name="s_Credit Buildup (2)_1_MODELO PDP III" xfId="2441" xr:uid="{00000000-0005-0000-0000-0000A70F0000}"/>
    <cellStyle name="s_Credit Buildup (2)_1_ORÇ_2009" xfId="2442" xr:uid="{00000000-0005-0000-0000-0000A80F0000}"/>
    <cellStyle name="s_Credit Buildup (2)_1_Pasta2" xfId="2443" xr:uid="{00000000-0005-0000-0000-0000A90F0000}"/>
    <cellStyle name="s_Credit Buildup (2)_Celtic DCF" xfId="2444" xr:uid="{00000000-0005-0000-0000-0000AA0F0000}"/>
    <cellStyle name="s_Credit Buildup (2)_Celtic DCF Inputs" xfId="2445" xr:uid="{00000000-0005-0000-0000-0000AB0F0000}"/>
    <cellStyle name="s_Credit Buildup (2)_Celtic DCF Inputs_Comparativo VP FIN v1_So 2008" xfId="7566" xr:uid="{00000000-0005-0000-0000-0000AC0F0000}"/>
    <cellStyle name="s_Credit Buildup (2)_Celtic DCF Inputs_Comparativo VP MKT 2008 v1_So 2008" xfId="7567" xr:uid="{00000000-0005-0000-0000-0000AD0F0000}"/>
    <cellStyle name="s_Credit Buildup (2)_Celtic DCF Inputs_Comparativo VP TEC 2008 v1_So 2008" xfId="7568" xr:uid="{00000000-0005-0000-0000-0000AE0F0000}"/>
    <cellStyle name="s_Credit Buildup (2)_Celtic DCF Inputs_Comparativo VP TEC 2008_Luiz Sergio" xfId="7569" xr:uid="{00000000-0005-0000-0000-0000AF0F0000}"/>
    <cellStyle name="s_Credit Buildup (2)_Celtic DCF Inputs_Cópia de Modelo - Fluxo de Caixa Orcamento 09052009_V36_3" xfId="2446" xr:uid="{00000000-0005-0000-0000-0000B00F0000}"/>
    <cellStyle name="s_Credit Buildup (2)_Celtic DCF Inputs_Fluxo de Caixa Orcamento FINAL_13052009" xfId="2447" xr:uid="{00000000-0005-0000-0000-0000B10F0000}"/>
    <cellStyle name="s_Credit Buildup (2)_Celtic DCF Inputs_FM_dummyV4" xfId="2448" xr:uid="{00000000-0005-0000-0000-0000B20F0000}"/>
    <cellStyle name="s_Credit Buildup (2)_Celtic DCF Inputs_lalur" xfId="2449" xr:uid="{00000000-0005-0000-0000-0000B30F0000}"/>
    <cellStyle name="s_Credit Buildup (2)_Celtic DCF Inputs_Leasing_V3" xfId="2450" xr:uid="{00000000-0005-0000-0000-0000B40F0000}"/>
    <cellStyle name="s_Credit Buildup (2)_Celtic DCF Inputs_MODELO PDP III" xfId="2451" xr:uid="{00000000-0005-0000-0000-0000B50F0000}"/>
    <cellStyle name="s_Credit Buildup (2)_Celtic DCF Inputs_ORÇ_2009" xfId="2452" xr:uid="{00000000-0005-0000-0000-0000B60F0000}"/>
    <cellStyle name="s_Credit Buildup (2)_Celtic DCF Inputs_Pasta2" xfId="2453" xr:uid="{00000000-0005-0000-0000-0000B70F0000}"/>
    <cellStyle name="s_Credit Buildup (2)_Celtic DCF_Comparativo VP FIN v1_So 2008" xfId="7570" xr:uid="{00000000-0005-0000-0000-0000B80F0000}"/>
    <cellStyle name="s_Credit Buildup (2)_Celtic DCF_Comparativo VP MKT 2008 v1_So 2008" xfId="7571" xr:uid="{00000000-0005-0000-0000-0000B90F0000}"/>
    <cellStyle name="s_Credit Buildup (2)_Celtic DCF_Comparativo VP TEC 2008 v1_So 2008" xfId="7572" xr:uid="{00000000-0005-0000-0000-0000BA0F0000}"/>
    <cellStyle name="s_Credit Buildup (2)_Celtic DCF_Comparativo VP TEC 2008_Luiz Sergio" xfId="7573" xr:uid="{00000000-0005-0000-0000-0000BB0F0000}"/>
    <cellStyle name="s_Credit Buildup (2)_Celtic DCF_Cópia de Modelo - Fluxo de Caixa Orcamento 09052009_V36_3" xfId="2454" xr:uid="{00000000-0005-0000-0000-0000BC0F0000}"/>
    <cellStyle name="s_Credit Buildup (2)_Celtic DCF_Fluxo de Caixa Orcamento FINAL_13052009" xfId="2455" xr:uid="{00000000-0005-0000-0000-0000BD0F0000}"/>
    <cellStyle name="s_Credit Buildup (2)_Celtic DCF_FM_dummyV4" xfId="2456" xr:uid="{00000000-0005-0000-0000-0000BE0F0000}"/>
    <cellStyle name="s_Credit Buildup (2)_Celtic DCF_lalur" xfId="2457" xr:uid="{00000000-0005-0000-0000-0000BF0F0000}"/>
    <cellStyle name="s_Credit Buildup (2)_Celtic DCF_Leasing_V3" xfId="2458" xr:uid="{00000000-0005-0000-0000-0000C00F0000}"/>
    <cellStyle name="s_Credit Buildup (2)_Celtic DCF_MODELO PDP III" xfId="2459" xr:uid="{00000000-0005-0000-0000-0000C10F0000}"/>
    <cellStyle name="s_Credit Buildup (2)_Celtic DCF_ORÇ_2009" xfId="2460" xr:uid="{00000000-0005-0000-0000-0000C20F0000}"/>
    <cellStyle name="s_Credit Buildup (2)_Celtic DCF_Pasta2" xfId="2461" xr:uid="{00000000-0005-0000-0000-0000C30F0000}"/>
    <cellStyle name="s_Credit Buildup (2)_Comparativo VP FIN v1_So 2008" xfId="7574" xr:uid="{00000000-0005-0000-0000-0000C40F0000}"/>
    <cellStyle name="s_Credit Buildup (2)_Comparativo VP MKT 2008 v1_So 2008" xfId="7575" xr:uid="{00000000-0005-0000-0000-0000C50F0000}"/>
    <cellStyle name="s_Credit Buildup (2)_Comparativo VP TEC 2008 v1_So 2008" xfId="7576" xr:uid="{00000000-0005-0000-0000-0000C60F0000}"/>
    <cellStyle name="s_Credit Buildup (2)_Comparativo VP TEC 2008_Luiz Sergio" xfId="7577" xr:uid="{00000000-0005-0000-0000-0000C70F0000}"/>
    <cellStyle name="s_Credit Buildup (2)_Cópia de Modelo - Fluxo de Caixa Orcamento 09052009_V36_3" xfId="2462" xr:uid="{00000000-0005-0000-0000-0000C80F0000}"/>
    <cellStyle name="s_Credit Buildup (2)_Fluxo de Caixa Orcamento FINAL_13052009" xfId="2463" xr:uid="{00000000-0005-0000-0000-0000C90F0000}"/>
    <cellStyle name="s_Credit Buildup (2)_FM_dummyV4" xfId="2464" xr:uid="{00000000-0005-0000-0000-0000CA0F0000}"/>
    <cellStyle name="s_Credit Buildup (2)_lalur" xfId="2465" xr:uid="{00000000-0005-0000-0000-0000CB0F0000}"/>
    <cellStyle name="s_Credit Buildup (2)_Leasing_V3" xfId="2466" xr:uid="{00000000-0005-0000-0000-0000CC0F0000}"/>
    <cellStyle name="s_Credit Buildup (2)_MODELO PDP III" xfId="2467" xr:uid="{00000000-0005-0000-0000-0000CD0F0000}"/>
    <cellStyle name="s_Credit Buildup (2)_ORÇ_2009" xfId="2468" xr:uid="{00000000-0005-0000-0000-0000CE0F0000}"/>
    <cellStyle name="s_Credit Buildup (2)_Pasta2" xfId="2469" xr:uid="{00000000-0005-0000-0000-0000CF0F0000}"/>
    <cellStyle name="s_Credit Buildup (2)_Valuation Summary" xfId="2470" xr:uid="{00000000-0005-0000-0000-0000D00F0000}"/>
    <cellStyle name="s_Credit Buildup (2)_Valuation Summary_Comparativo VP FIN v1_So 2008" xfId="7578" xr:uid="{00000000-0005-0000-0000-0000D10F0000}"/>
    <cellStyle name="s_Credit Buildup (2)_Valuation Summary_Comparativo VP MKT 2008 v1_So 2008" xfId="7579" xr:uid="{00000000-0005-0000-0000-0000D20F0000}"/>
    <cellStyle name="s_Credit Buildup (2)_Valuation Summary_Comparativo VP TEC 2008 v1_So 2008" xfId="7580" xr:uid="{00000000-0005-0000-0000-0000D30F0000}"/>
    <cellStyle name="s_Credit Buildup (2)_Valuation Summary_Comparativo VP TEC 2008_Luiz Sergio" xfId="7581" xr:uid="{00000000-0005-0000-0000-0000D40F0000}"/>
    <cellStyle name="s_Credit Buildup (2)_Valuation Summary_Cópia de Modelo - Fluxo de Caixa Orcamento 09052009_V36_3" xfId="2471" xr:uid="{00000000-0005-0000-0000-0000D50F0000}"/>
    <cellStyle name="s_Credit Buildup (2)_Valuation Summary_Fluxo de Caixa Orcamento FINAL_13052009" xfId="2472" xr:uid="{00000000-0005-0000-0000-0000D60F0000}"/>
    <cellStyle name="s_Credit Buildup (2)_Valuation Summary_FM_dummyV4" xfId="2473" xr:uid="{00000000-0005-0000-0000-0000D70F0000}"/>
    <cellStyle name="s_Credit Buildup (2)_Valuation Summary_lalur" xfId="2474" xr:uid="{00000000-0005-0000-0000-0000D80F0000}"/>
    <cellStyle name="s_Credit Buildup (2)_Valuation Summary_Leasing_V3" xfId="2475" xr:uid="{00000000-0005-0000-0000-0000D90F0000}"/>
    <cellStyle name="s_Credit Buildup (2)_Valuation Summary_MODELO PDP III" xfId="2476" xr:uid="{00000000-0005-0000-0000-0000DA0F0000}"/>
    <cellStyle name="s_Credit Buildup (2)_Valuation Summary_ORÇ_2009" xfId="2477" xr:uid="{00000000-0005-0000-0000-0000DB0F0000}"/>
    <cellStyle name="s_Credit Buildup (2)_Valuation Summary_Pasta2" xfId="2478" xr:uid="{00000000-0005-0000-0000-0000DC0F0000}"/>
    <cellStyle name="s_Credit Graph" xfId="2479" xr:uid="{00000000-0005-0000-0000-0000DD0F0000}"/>
    <cellStyle name="s_Credit Graph_1" xfId="2480" xr:uid="{00000000-0005-0000-0000-0000DE0F0000}"/>
    <cellStyle name="s_Credit Graph_1_Comparativo VP FIN v1_So 2008" xfId="7582" xr:uid="{00000000-0005-0000-0000-0000DF0F0000}"/>
    <cellStyle name="s_Credit Graph_1_Comparativo VP MKT 2008 v1_So 2008" xfId="7583" xr:uid="{00000000-0005-0000-0000-0000E00F0000}"/>
    <cellStyle name="s_Credit Graph_1_Comparativo VP TEC 2008 v1_So 2008" xfId="7584" xr:uid="{00000000-0005-0000-0000-0000E10F0000}"/>
    <cellStyle name="s_Credit Graph_1_Comparativo VP TEC 2008_Luiz Sergio" xfId="7585" xr:uid="{00000000-0005-0000-0000-0000E20F0000}"/>
    <cellStyle name="s_Credit Graph_1_Cópia de Modelo - Fluxo de Caixa Orcamento 09052009_V36_3" xfId="2481" xr:uid="{00000000-0005-0000-0000-0000E30F0000}"/>
    <cellStyle name="s_Credit Graph_1_Fluxo de Caixa Orcamento FINAL_13052009" xfId="2482" xr:uid="{00000000-0005-0000-0000-0000E40F0000}"/>
    <cellStyle name="s_Credit Graph_1_FM_dummyV4" xfId="2483" xr:uid="{00000000-0005-0000-0000-0000E50F0000}"/>
    <cellStyle name="s_Credit Graph_1_lalur" xfId="2484" xr:uid="{00000000-0005-0000-0000-0000E60F0000}"/>
    <cellStyle name="s_Credit Graph_1_Leasing_V3" xfId="2485" xr:uid="{00000000-0005-0000-0000-0000E70F0000}"/>
    <cellStyle name="s_Credit Graph_1_MODELO PDP III" xfId="2486" xr:uid="{00000000-0005-0000-0000-0000E80F0000}"/>
    <cellStyle name="s_Credit Graph_1_ORÇ_2009" xfId="2487" xr:uid="{00000000-0005-0000-0000-0000E90F0000}"/>
    <cellStyle name="s_Credit Graph_1_Pasta2" xfId="2488" xr:uid="{00000000-0005-0000-0000-0000EA0F0000}"/>
    <cellStyle name="s_Credit Graph_2" xfId="2489" xr:uid="{00000000-0005-0000-0000-0000EB0F0000}"/>
    <cellStyle name="s_Credit Graph_2_Comparativo VP FIN v1_So 2008" xfId="7586" xr:uid="{00000000-0005-0000-0000-0000EC0F0000}"/>
    <cellStyle name="s_Credit Graph_2_Comparativo VP MKT 2008 v1_So 2008" xfId="7587" xr:uid="{00000000-0005-0000-0000-0000ED0F0000}"/>
    <cellStyle name="s_Credit Graph_2_Comparativo VP TEC 2008 v1_So 2008" xfId="7588" xr:uid="{00000000-0005-0000-0000-0000EE0F0000}"/>
    <cellStyle name="s_Credit Graph_2_Comparativo VP TEC 2008_Luiz Sergio" xfId="7589" xr:uid="{00000000-0005-0000-0000-0000EF0F0000}"/>
    <cellStyle name="s_Credit Graph_2_Cópia de Modelo - Fluxo de Caixa Orcamento 09052009_V36_3" xfId="2490" xr:uid="{00000000-0005-0000-0000-0000F00F0000}"/>
    <cellStyle name="s_Credit Graph_2_Fluxo de Caixa Orcamento FINAL_13052009" xfId="2491" xr:uid="{00000000-0005-0000-0000-0000F10F0000}"/>
    <cellStyle name="s_Credit Graph_2_FM_dummyV4" xfId="2492" xr:uid="{00000000-0005-0000-0000-0000F20F0000}"/>
    <cellStyle name="s_Credit Graph_2_lalur" xfId="2493" xr:uid="{00000000-0005-0000-0000-0000F30F0000}"/>
    <cellStyle name="s_Credit Graph_2_Leasing_V3" xfId="2494" xr:uid="{00000000-0005-0000-0000-0000F40F0000}"/>
    <cellStyle name="s_Credit Graph_2_MODELO PDP III" xfId="2495" xr:uid="{00000000-0005-0000-0000-0000F50F0000}"/>
    <cellStyle name="s_Credit Graph_2_ORÇ_2009" xfId="2496" xr:uid="{00000000-0005-0000-0000-0000F60F0000}"/>
    <cellStyle name="s_Credit Graph_2_Pasta2" xfId="2497" xr:uid="{00000000-0005-0000-0000-0000F70F0000}"/>
    <cellStyle name="s_Credit Graph_Comparativo VP FIN v1_So 2008" xfId="7590" xr:uid="{00000000-0005-0000-0000-0000F80F0000}"/>
    <cellStyle name="s_Credit Graph_Comparativo VP MKT 2008 v1_So 2008" xfId="7591" xr:uid="{00000000-0005-0000-0000-0000F90F0000}"/>
    <cellStyle name="s_Credit Graph_Comparativo VP TEC 2008 v1_So 2008" xfId="7592" xr:uid="{00000000-0005-0000-0000-0000FA0F0000}"/>
    <cellStyle name="s_Credit Graph_Comparativo VP TEC 2008_Luiz Sergio" xfId="7593" xr:uid="{00000000-0005-0000-0000-0000FB0F0000}"/>
    <cellStyle name="s_Credit Graph_Cópia de Modelo - Fluxo de Caixa Orcamento 09052009_V36_3" xfId="2498" xr:uid="{00000000-0005-0000-0000-0000FC0F0000}"/>
    <cellStyle name="s_Credit Graph_Fluxo de Caixa Orcamento FINAL_13052009" xfId="2499" xr:uid="{00000000-0005-0000-0000-0000FD0F0000}"/>
    <cellStyle name="s_Credit Graph_FM_dummyV4" xfId="2500" xr:uid="{00000000-0005-0000-0000-0000FE0F0000}"/>
    <cellStyle name="s_Credit Graph_lalur" xfId="2501" xr:uid="{00000000-0005-0000-0000-0000FF0F0000}"/>
    <cellStyle name="s_Credit Graph_Leasing_V3" xfId="2502" xr:uid="{00000000-0005-0000-0000-000000100000}"/>
    <cellStyle name="s_Credit Graph_MODELO PDP III" xfId="2503" xr:uid="{00000000-0005-0000-0000-000001100000}"/>
    <cellStyle name="s_Credit Graph_ORÇ_2009" xfId="2504" xr:uid="{00000000-0005-0000-0000-000002100000}"/>
    <cellStyle name="s_Credit Graph_Pasta2" xfId="2505" xr:uid="{00000000-0005-0000-0000-000003100000}"/>
    <cellStyle name="s_CredSens" xfId="2506" xr:uid="{00000000-0005-0000-0000-000004100000}"/>
    <cellStyle name="s_CredSens_1" xfId="2507" xr:uid="{00000000-0005-0000-0000-000005100000}"/>
    <cellStyle name="s_CredSens_1_Comparativo VP FIN v1_So 2008" xfId="7594" xr:uid="{00000000-0005-0000-0000-000006100000}"/>
    <cellStyle name="s_CredSens_1_Comparativo VP MKT 2008 v1_So 2008" xfId="7595" xr:uid="{00000000-0005-0000-0000-000007100000}"/>
    <cellStyle name="s_CredSens_1_Comparativo VP TEC 2008 v1_So 2008" xfId="7596" xr:uid="{00000000-0005-0000-0000-000008100000}"/>
    <cellStyle name="s_CredSens_1_Comparativo VP TEC 2008_Luiz Sergio" xfId="7597" xr:uid="{00000000-0005-0000-0000-000009100000}"/>
    <cellStyle name="s_CredSens_1_Cópia de Modelo - Fluxo de Caixa Orcamento 09052009_V36_3" xfId="2508" xr:uid="{00000000-0005-0000-0000-00000A100000}"/>
    <cellStyle name="s_CredSens_1_Fluxo de Caixa Orcamento FINAL_13052009" xfId="2509" xr:uid="{00000000-0005-0000-0000-00000B100000}"/>
    <cellStyle name="s_CredSens_1_FM_dummyV4" xfId="2510" xr:uid="{00000000-0005-0000-0000-00000C100000}"/>
    <cellStyle name="s_CredSens_1_lalur" xfId="2511" xr:uid="{00000000-0005-0000-0000-00000D100000}"/>
    <cellStyle name="s_CredSens_1_Leasing_V3" xfId="2512" xr:uid="{00000000-0005-0000-0000-00000E100000}"/>
    <cellStyle name="s_CredSens_1_MODELO PDP III" xfId="2513" xr:uid="{00000000-0005-0000-0000-00000F100000}"/>
    <cellStyle name="s_CredSens_1_ORÇ_2009" xfId="2514" xr:uid="{00000000-0005-0000-0000-000010100000}"/>
    <cellStyle name="s_CredSens_1_Pasta2" xfId="2515" xr:uid="{00000000-0005-0000-0000-000011100000}"/>
    <cellStyle name="s_CredSens_2" xfId="2516" xr:uid="{00000000-0005-0000-0000-000012100000}"/>
    <cellStyle name="s_CredSens_2_Comparativo VP FIN v1_So 2008" xfId="7598" xr:uid="{00000000-0005-0000-0000-000013100000}"/>
    <cellStyle name="s_CredSens_2_Comparativo VP MKT 2008 v1_So 2008" xfId="7599" xr:uid="{00000000-0005-0000-0000-000014100000}"/>
    <cellStyle name="s_CredSens_2_Comparativo VP TEC 2008 v1_So 2008" xfId="7600" xr:uid="{00000000-0005-0000-0000-000015100000}"/>
    <cellStyle name="s_CredSens_2_Comparativo VP TEC 2008_Luiz Sergio" xfId="7601" xr:uid="{00000000-0005-0000-0000-000016100000}"/>
    <cellStyle name="s_CredSens_2_Cópia de Modelo - Fluxo de Caixa Orcamento 09052009_V36_3" xfId="2517" xr:uid="{00000000-0005-0000-0000-000017100000}"/>
    <cellStyle name="s_CredSens_2_Fluxo de Caixa Orcamento FINAL_13052009" xfId="2518" xr:uid="{00000000-0005-0000-0000-000018100000}"/>
    <cellStyle name="s_CredSens_2_FM_dummyV4" xfId="2519" xr:uid="{00000000-0005-0000-0000-000019100000}"/>
    <cellStyle name="s_CredSens_2_lalur" xfId="2520" xr:uid="{00000000-0005-0000-0000-00001A100000}"/>
    <cellStyle name="s_CredSens_2_Leasing_V3" xfId="2521" xr:uid="{00000000-0005-0000-0000-00001B100000}"/>
    <cellStyle name="s_CredSens_2_MODELO PDP III" xfId="2522" xr:uid="{00000000-0005-0000-0000-00001C100000}"/>
    <cellStyle name="s_CredSens_2_ORÇ_2009" xfId="2523" xr:uid="{00000000-0005-0000-0000-00001D100000}"/>
    <cellStyle name="s_CredSens_2_Pasta2" xfId="2524" xr:uid="{00000000-0005-0000-0000-00001E100000}"/>
    <cellStyle name="s_CredSens_Celtic DCF" xfId="2525" xr:uid="{00000000-0005-0000-0000-00001F100000}"/>
    <cellStyle name="s_CredSens_Celtic DCF Inputs" xfId="2526" xr:uid="{00000000-0005-0000-0000-000020100000}"/>
    <cellStyle name="s_CredSens_Celtic DCF Inputs_Comparativo VP FIN v1_So 2008" xfId="7602" xr:uid="{00000000-0005-0000-0000-000021100000}"/>
    <cellStyle name="s_CredSens_Celtic DCF Inputs_Comparativo VP MKT 2008 v1_So 2008" xfId="7603" xr:uid="{00000000-0005-0000-0000-000022100000}"/>
    <cellStyle name="s_CredSens_Celtic DCF Inputs_Comparativo VP TEC 2008 v1_So 2008" xfId="7604" xr:uid="{00000000-0005-0000-0000-000023100000}"/>
    <cellStyle name="s_CredSens_Celtic DCF Inputs_Comparativo VP TEC 2008_Luiz Sergio" xfId="7605" xr:uid="{00000000-0005-0000-0000-000024100000}"/>
    <cellStyle name="s_CredSens_Celtic DCF Inputs_Cópia de Modelo - Fluxo de Caixa Orcamento 09052009_V36_3" xfId="2527" xr:uid="{00000000-0005-0000-0000-000025100000}"/>
    <cellStyle name="s_CredSens_Celtic DCF Inputs_Fluxo de Caixa Orcamento FINAL_13052009" xfId="2528" xr:uid="{00000000-0005-0000-0000-000026100000}"/>
    <cellStyle name="s_CredSens_Celtic DCF Inputs_FM_dummyV4" xfId="2529" xr:uid="{00000000-0005-0000-0000-000027100000}"/>
    <cellStyle name="s_CredSens_Celtic DCF Inputs_lalur" xfId="2530" xr:uid="{00000000-0005-0000-0000-000028100000}"/>
    <cellStyle name="s_CredSens_Celtic DCF Inputs_Leasing_V3" xfId="2531" xr:uid="{00000000-0005-0000-0000-000029100000}"/>
    <cellStyle name="s_CredSens_Celtic DCF Inputs_MODELO PDP III" xfId="2532" xr:uid="{00000000-0005-0000-0000-00002A100000}"/>
    <cellStyle name="s_CredSens_Celtic DCF Inputs_ORÇ_2009" xfId="2533" xr:uid="{00000000-0005-0000-0000-00002B100000}"/>
    <cellStyle name="s_CredSens_Celtic DCF Inputs_Pasta2" xfId="2534" xr:uid="{00000000-0005-0000-0000-00002C100000}"/>
    <cellStyle name="s_CredSens_Celtic DCF_Comparativo VP FIN v1_So 2008" xfId="7606" xr:uid="{00000000-0005-0000-0000-00002D100000}"/>
    <cellStyle name="s_CredSens_Celtic DCF_Comparativo VP MKT 2008 v1_So 2008" xfId="7607" xr:uid="{00000000-0005-0000-0000-00002E100000}"/>
    <cellStyle name="s_CredSens_Celtic DCF_Comparativo VP TEC 2008 v1_So 2008" xfId="7608" xr:uid="{00000000-0005-0000-0000-00002F100000}"/>
    <cellStyle name="s_CredSens_Celtic DCF_Comparativo VP TEC 2008_Luiz Sergio" xfId="7609" xr:uid="{00000000-0005-0000-0000-000030100000}"/>
    <cellStyle name="s_CredSens_Celtic DCF_Cópia de Modelo - Fluxo de Caixa Orcamento 09052009_V36_3" xfId="2535" xr:uid="{00000000-0005-0000-0000-000031100000}"/>
    <cellStyle name="s_CredSens_Celtic DCF_Fluxo de Caixa Orcamento FINAL_13052009" xfId="2536" xr:uid="{00000000-0005-0000-0000-000032100000}"/>
    <cellStyle name="s_CredSens_Celtic DCF_FM_dummyV4" xfId="2537" xr:uid="{00000000-0005-0000-0000-000033100000}"/>
    <cellStyle name="s_CredSens_Celtic DCF_lalur" xfId="2538" xr:uid="{00000000-0005-0000-0000-000034100000}"/>
    <cellStyle name="s_CredSens_Celtic DCF_Leasing_V3" xfId="2539" xr:uid="{00000000-0005-0000-0000-000035100000}"/>
    <cellStyle name="s_CredSens_Celtic DCF_MODELO PDP III" xfId="2540" xr:uid="{00000000-0005-0000-0000-000036100000}"/>
    <cellStyle name="s_CredSens_Celtic DCF_ORÇ_2009" xfId="2541" xr:uid="{00000000-0005-0000-0000-000037100000}"/>
    <cellStyle name="s_CredSens_Celtic DCF_Pasta2" xfId="2542" xr:uid="{00000000-0005-0000-0000-000038100000}"/>
    <cellStyle name="s_CredSens_Comparativo VP FIN v1_So 2008" xfId="7610" xr:uid="{00000000-0005-0000-0000-000039100000}"/>
    <cellStyle name="s_CredSens_Comparativo VP MKT 2008 v1_So 2008" xfId="7611" xr:uid="{00000000-0005-0000-0000-00003A100000}"/>
    <cellStyle name="s_CredSens_Comparativo VP TEC 2008 v1_So 2008" xfId="7612" xr:uid="{00000000-0005-0000-0000-00003B100000}"/>
    <cellStyle name="s_CredSens_Comparativo VP TEC 2008_Luiz Sergio" xfId="7613" xr:uid="{00000000-0005-0000-0000-00003C100000}"/>
    <cellStyle name="s_CredSens_Cópia de Modelo - Fluxo de Caixa Orcamento 09052009_V36_3" xfId="2543" xr:uid="{00000000-0005-0000-0000-00003D100000}"/>
    <cellStyle name="s_CredSens_Fluxo de Caixa Orcamento FINAL_13052009" xfId="2544" xr:uid="{00000000-0005-0000-0000-00003E100000}"/>
    <cellStyle name="s_CredSens_FM_dummyV4" xfId="2545" xr:uid="{00000000-0005-0000-0000-00003F100000}"/>
    <cellStyle name="s_CredSens_lalur" xfId="2546" xr:uid="{00000000-0005-0000-0000-000040100000}"/>
    <cellStyle name="s_CredSens_Leasing_V3" xfId="2547" xr:uid="{00000000-0005-0000-0000-000041100000}"/>
    <cellStyle name="s_CredSens_MODELO PDP III" xfId="2548" xr:uid="{00000000-0005-0000-0000-000042100000}"/>
    <cellStyle name="s_CredSens_ORÇ_2009" xfId="2549" xr:uid="{00000000-0005-0000-0000-000043100000}"/>
    <cellStyle name="s_CredSens_Pasta2" xfId="2550" xr:uid="{00000000-0005-0000-0000-000044100000}"/>
    <cellStyle name="s_CredSens_Valuation Summary" xfId="2551" xr:uid="{00000000-0005-0000-0000-000045100000}"/>
    <cellStyle name="s_CredSens_Valuation Summary_Comparativo VP FIN v1_So 2008" xfId="7614" xr:uid="{00000000-0005-0000-0000-000046100000}"/>
    <cellStyle name="s_CredSens_Valuation Summary_Comparativo VP MKT 2008 v1_So 2008" xfId="7615" xr:uid="{00000000-0005-0000-0000-000047100000}"/>
    <cellStyle name="s_CredSens_Valuation Summary_Comparativo VP TEC 2008 v1_So 2008" xfId="7616" xr:uid="{00000000-0005-0000-0000-000048100000}"/>
    <cellStyle name="s_CredSens_Valuation Summary_Comparativo VP TEC 2008_Luiz Sergio" xfId="7617" xr:uid="{00000000-0005-0000-0000-000049100000}"/>
    <cellStyle name="s_CredSens_Valuation Summary_Cópia de Modelo - Fluxo de Caixa Orcamento 09052009_V36_3" xfId="2552" xr:uid="{00000000-0005-0000-0000-00004A100000}"/>
    <cellStyle name="s_CredSens_Valuation Summary_Fluxo de Caixa Orcamento FINAL_13052009" xfId="2553" xr:uid="{00000000-0005-0000-0000-00004B100000}"/>
    <cellStyle name="s_CredSens_Valuation Summary_FM_dummyV4" xfId="2554" xr:uid="{00000000-0005-0000-0000-00004C100000}"/>
    <cellStyle name="s_CredSens_Valuation Summary_lalur" xfId="2555" xr:uid="{00000000-0005-0000-0000-00004D100000}"/>
    <cellStyle name="s_CredSens_Valuation Summary_Leasing_V3" xfId="2556" xr:uid="{00000000-0005-0000-0000-00004E100000}"/>
    <cellStyle name="s_CredSens_Valuation Summary_MODELO PDP III" xfId="2557" xr:uid="{00000000-0005-0000-0000-00004F100000}"/>
    <cellStyle name="s_CredSens_Valuation Summary_ORÇ_2009" xfId="2558" xr:uid="{00000000-0005-0000-0000-000050100000}"/>
    <cellStyle name="s_CredSens_Valuation Summary_Pasta2" xfId="2559" xr:uid="{00000000-0005-0000-0000-000051100000}"/>
    <cellStyle name="s_Daily Treasury Report- Fevereiro" xfId="2560" xr:uid="{00000000-0005-0000-0000-000052100000}"/>
    <cellStyle name="s_Daily Treasury Report- Fevereiro_BNDES - Calculo novo" xfId="7618" xr:uid="{00000000-0005-0000-0000-000053100000}"/>
    <cellStyle name="s_Daily Treasury Report- Fevereiro_BNDES - NOVO" xfId="7619" xr:uid="{00000000-0005-0000-0000-000054100000}"/>
    <cellStyle name="s_Daily Treasury Report- Fevereiro_Controle Dívida LP" xfId="7620" xr:uid="{00000000-0005-0000-0000-000055100000}"/>
    <cellStyle name="s_Daily Treasury Report- Fevereiro_Controle Dívida LP - NOVO" xfId="7621" xr:uid="{00000000-0005-0000-0000-000056100000}"/>
    <cellStyle name="s_Daily Treasury Report- Fevereiro_Controle Empréstimos" xfId="7622" xr:uid="{00000000-0005-0000-0000-000057100000}"/>
    <cellStyle name="s_Daily Treasury Report- Fevereiro_Emprest CSFB OK" xfId="7623" xr:uid="{00000000-0005-0000-0000-000058100000}"/>
    <cellStyle name="s_Daily Treasury Report- Fevereiro_Novo Financiamento BNDES" xfId="7624" xr:uid="{00000000-0005-0000-0000-000059100000}"/>
    <cellStyle name="s_Daily Treasury Report- Fevereiro_Suporte DFs - V2.0" xfId="7625" xr:uid="{00000000-0005-0000-0000-00005A100000}"/>
    <cellStyle name="s_Daily Treasury Report- Fevereiro_teste" xfId="7626" xr:uid="{00000000-0005-0000-0000-00005B100000}"/>
    <cellStyle name="s_DCF" xfId="2561" xr:uid="{00000000-0005-0000-0000-00005C100000}"/>
    <cellStyle name="s_DCF Inputs" xfId="2562" xr:uid="{00000000-0005-0000-0000-00005D100000}"/>
    <cellStyle name="s_DCF Inputs (2)" xfId="2563" xr:uid="{00000000-0005-0000-0000-00005E100000}"/>
    <cellStyle name="s_DCF Inputs (2)_1" xfId="2564" xr:uid="{00000000-0005-0000-0000-00005F100000}"/>
    <cellStyle name="s_DCF Inputs (2)_1_Celtic DCF" xfId="2565" xr:uid="{00000000-0005-0000-0000-000060100000}"/>
    <cellStyle name="s_DCF Inputs (2)_1_Celtic DCF Inputs" xfId="2566" xr:uid="{00000000-0005-0000-0000-000061100000}"/>
    <cellStyle name="s_DCF Inputs (2)_1_Celtic DCF Inputs_Comparativo VP FIN v1_So 2008" xfId="7627" xr:uid="{00000000-0005-0000-0000-000062100000}"/>
    <cellStyle name="s_DCF Inputs (2)_1_Celtic DCF Inputs_Comparativo VP MKT 2008 v1_So 2008" xfId="7628" xr:uid="{00000000-0005-0000-0000-000063100000}"/>
    <cellStyle name="s_DCF Inputs (2)_1_Celtic DCF Inputs_Comparativo VP TEC 2008 v1_So 2008" xfId="7629" xr:uid="{00000000-0005-0000-0000-000064100000}"/>
    <cellStyle name="s_DCF Inputs (2)_1_Celtic DCF Inputs_Comparativo VP TEC 2008_Luiz Sergio" xfId="7630" xr:uid="{00000000-0005-0000-0000-000065100000}"/>
    <cellStyle name="s_DCF Inputs (2)_1_Celtic DCF Inputs_Cópia de Modelo - Fluxo de Caixa Orcamento 09052009_V36_3" xfId="2567" xr:uid="{00000000-0005-0000-0000-000066100000}"/>
    <cellStyle name="s_DCF Inputs (2)_1_Celtic DCF Inputs_Fluxo de Caixa Orcamento FINAL_13052009" xfId="2568" xr:uid="{00000000-0005-0000-0000-000067100000}"/>
    <cellStyle name="s_DCF Inputs (2)_1_Celtic DCF Inputs_FM_dummyV4" xfId="2569" xr:uid="{00000000-0005-0000-0000-000068100000}"/>
    <cellStyle name="s_DCF Inputs (2)_1_Celtic DCF Inputs_lalur" xfId="2570" xr:uid="{00000000-0005-0000-0000-000069100000}"/>
    <cellStyle name="s_DCF Inputs (2)_1_Celtic DCF Inputs_Leasing_V3" xfId="2571" xr:uid="{00000000-0005-0000-0000-00006A100000}"/>
    <cellStyle name="s_DCF Inputs (2)_1_Celtic DCF Inputs_MODELO PDP III" xfId="2572" xr:uid="{00000000-0005-0000-0000-00006B100000}"/>
    <cellStyle name="s_DCF Inputs (2)_1_Celtic DCF Inputs_ORÇ_2009" xfId="2573" xr:uid="{00000000-0005-0000-0000-00006C100000}"/>
    <cellStyle name="s_DCF Inputs (2)_1_Celtic DCF Inputs_Pasta2" xfId="2574" xr:uid="{00000000-0005-0000-0000-00006D100000}"/>
    <cellStyle name="s_DCF Inputs (2)_1_Celtic DCF_Comparativo VP FIN v1_So 2008" xfId="7631" xr:uid="{00000000-0005-0000-0000-00006E100000}"/>
    <cellStyle name="s_DCF Inputs (2)_1_Celtic DCF_Comparativo VP MKT 2008 v1_So 2008" xfId="7632" xr:uid="{00000000-0005-0000-0000-00006F100000}"/>
    <cellStyle name="s_DCF Inputs (2)_1_Celtic DCF_Comparativo VP TEC 2008 v1_So 2008" xfId="7633" xr:uid="{00000000-0005-0000-0000-000070100000}"/>
    <cellStyle name="s_DCF Inputs (2)_1_Celtic DCF_Comparativo VP TEC 2008_Luiz Sergio" xfId="7634" xr:uid="{00000000-0005-0000-0000-000071100000}"/>
    <cellStyle name="s_DCF Inputs (2)_1_Celtic DCF_Cópia de Modelo - Fluxo de Caixa Orcamento 09052009_V36_3" xfId="2575" xr:uid="{00000000-0005-0000-0000-000072100000}"/>
    <cellStyle name="s_DCF Inputs (2)_1_Celtic DCF_Fluxo de Caixa Orcamento FINAL_13052009" xfId="2576" xr:uid="{00000000-0005-0000-0000-000073100000}"/>
    <cellStyle name="s_DCF Inputs (2)_1_Celtic DCF_FM_dummyV4" xfId="2577" xr:uid="{00000000-0005-0000-0000-000074100000}"/>
    <cellStyle name="s_DCF Inputs (2)_1_Celtic DCF_lalur" xfId="2578" xr:uid="{00000000-0005-0000-0000-000075100000}"/>
    <cellStyle name="s_DCF Inputs (2)_1_Celtic DCF_Leasing_V3" xfId="2579" xr:uid="{00000000-0005-0000-0000-000076100000}"/>
    <cellStyle name="s_DCF Inputs (2)_1_Celtic DCF_MODELO PDP III" xfId="2580" xr:uid="{00000000-0005-0000-0000-000077100000}"/>
    <cellStyle name="s_DCF Inputs (2)_1_Celtic DCF_ORÇ_2009" xfId="2581" xr:uid="{00000000-0005-0000-0000-000078100000}"/>
    <cellStyle name="s_DCF Inputs (2)_1_Celtic DCF_Pasta2" xfId="2582" xr:uid="{00000000-0005-0000-0000-000079100000}"/>
    <cellStyle name="s_DCF Inputs (2)_1_Comparativo VP FIN v1_So 2008" xfId="7635" xr:uid="{00000000-0005-0000-0000-00007A100000}"/>
    <cellStyle name="s_DCF Inputs (2)_1_Comparativo VP MKT 2008 v1_So 2008" xfId="7636" xr:uid="{00000000-0005-0000-0000-00007B100000}"/>
    <cellStyle name="s_DCF Inputs (2)_1_Comparativo VP TEC 2008 v1_So 2008" xfId="7637" xr:uid="{00000000-0005-0000-0000-00007C100000}"/>
    <cellStyle name="s_DCF Inputs (2)_1_Comparativo VP TEC 2008_Luiz Sergio" xfId="7638" xr:uid="{00000000-0005-0000-0000-00007D100000}"/>
    <cellStyle name="s_DCF Inputs (2)_1_Cópia de Modelo - Fluxo de Caixa Orcamento 09052009_V36_3" xfId="2583" xr:uid="{00000000-0005-0000-0000-00007E100000}"/>
    <cellStyle name="s_DCF Inputs (2)_1_Fluxo de Caixa Orcamento FINAL_13052009" xfId="2584" xr:uid="{00000000-0005-0000-0000-00007F100000}"/>
    <cellStyle name="s_DCF Inputs (2)_1_FM_dummyV4" xfId="2585" xr:uid="{00000000-0005-0000-0000-000080100000}"/>
    <cellStyle name="s_DCF Inputs (2)_1_lalur" xfId="2586" xr:uid="{00000000-0005-0000-0000-000081100000}"/>
    <cellStyle name="s_DCF Inputs (2)_1_Leasing_V3" xfId="2587" xr:uid="{00000000-0005-0000-0000-000082100000}"/>
    <cellStyle name="s_DCF Inputs (2)_1_MODELO PDP III" xfId="2588" xr:uid="{00000000-0005-0000-0000-000083100000}"/>
    <cellStyle name="s_DCF Inputs (2)_1_ORÇ_2009" xfId="2589" xr:uid="{00000000-0005-0000-0000-000084100000}"/>
    <cellStyle name="s_DCF Inputs (2)_1_Pasta2" xfId="2590" xr:uid="{00000000-0005-0000-0000-000085100000}"/>
    <cellStyle name="s_DCF Inputs (2)_1_Valuation Summary" xfId="2591" xr:uid="{00000000-0005-0000-0000-000086100000}"/>
    <cellStyle name="s_DCF Inputs (2)_1_Valuation Summary_Comparativo VP FIN v1_So 2008" xfId="7639" xr:uid="{00000000-0005-0000-0000-000087100000}"/>
    <cellStyle name="s_DCF Inputs (2)_1_Valuation Summary_Comparativo VP MKT 2008 v1_So 2008" xfId="7640" xr:uid="{00000000-0005-0000-0000-000088100000}"/>
    <cellStyle name="s_DCF Inputs (2)_1_Valuation Summary_Comparativo VP TEC 2008 v1_So 2008" xfId="7641" xr:uid="{00000000-0005-0000-0000-000089100000}"/>
    <cellStyle name="s_DCF Inputs (2)_1_Valuation Summary_Comparativo VP TEC 2008_Luiz Sergio" xfId="7642" xr:uid="{00000000-0005-0000-0000-00008A100000}"/>
    <cellStyle name="s_DCF Inputs (2)_1_Valuation Summary_Cópia de Modelo - Fluxo de Caixa Orcamento 09052009_V36_3" xfId="2592" xr:uid="{00000000-0005-0000-0000-00008B100000}"/>
    <cellStyle name="s_DCF Inputs (2)_1_Valuation Summary_Fluxo de Caixa Orcamento FINAL_13052009" xfId="2593" xr:uid="{00000000-0005-0000-0000-00008C100000}"/>
    <cellStyle name="s_DCF Inputs (2)_1_Valuation Summary_FM_dummyV4" xfId="2594" xr:uid="{00000000-0005-0000-0000-00008D100000}"/>
    <cellStyle name="s_DCF Inputs (2)_1_Valuation Summary_lalur" xfId="2595" xr:uid="{00000000-0005-0000-0000-00008E100000}"/>
    <cellStyle name="s_DCF Inputs (2)_1_Valuation Summary_Leasing_V3" xfId="2596" xr:uid="{00000000-0005-0000-0000-00008F100000}"/>
    <cellStyle name="s_DCF Inputs (2)_1_Valuation Summary_MODELO PDP III" xfId="2597" xr:uid="{00000000-0005-0000-0000-000090100000}"/>
    <cellStyle name="s_DCF Inputs (2)_1_Valuation Summary_ORÇ_2009" xfId="2598" xr:uid="{00000000-0005-0000-0000-000091100000}"/>
    <cellStyle name="s_DCF Inputs (2)_1_Valuation Summary_Pasta2" xfId="2599" xr:uid="{00000000-0005-0000-0000-000092100000}"/>
    <cellStyle name="s_DCF Inputs (2)_Comparativo VP FIN v1_So 2008" xfId="7643" xr:uid="{00000000-0005-0000-0000-000093100000}"/>
    <cellStyle name="s_DCF Inputs (2)_Comparativo VP MKT 2008 v1_So 2008" xfId="7644" xr:uid="{00000000-0005-0000-0000-000094100000}"/>
    <cellStyle name="s_DCF Inputs (2)_Comparativo VP TEC 2008 v1_So 2008" xfId="7645" xr:uid="{00000000-0005-0000-0000-000095100000}"/>
    <cellStyle name="s_DCF Inputs (2)_Comparativo VP TEC 2008_Luiz Sergio" xfId="7646" xr:uid="{00000000-0005-0000-0000-000096100000}"/>
    <cellStyle name="s_DCF Inputs (2)_Cópia de Modelo - Fluxo de Caixa Orcamento 09052009_V36_3" xfId="2600" xr:uid="{00000000-0005-0000-0000-000097100000}"/>
    <cellStyle name="s_DCF Inputs (2)_Fluxo de Caixa Orcamento FINAL_13052009" xfId="2601" xr:uid="{00000000-0005-0000-0000-000098100000}"/>
    <cellStyle name="s_DCF Inputs (2)_FM_dummyV4" xfId="2602" xr:uid="{00000000-0005-0000-0000-000099100000}"/>
    <cellStyle name="s_DCF Inputs (2)_lalur" xfId="2603" xr:uid="{00000000-0005-0000-0000-00009A100000}"/>
    <cellStyle name="s_DCF Inputs (2)_Leasing_V3" xfId="2604" xr:uid="{00000000-0005-0000-0000-00009B100000}"/>
    <cellStyle name="s_DCF Inputs (2)_MODELO PDP III" xfId="2605" xr:uid="{00000000-0005-0000-0000-00009C100000}"/>
    <cellStyle name="s_DCF Inputs (2)_ORÇ_2009" xfId="2606" xr:uid="{00000000-0005-0000-0000-00009D100000}"/>
    <cellStyle name="s_DCF Inputs (2)_Pasta2" xfId="2607" xr:uid="{00000000-0005-0000-0000-00009E100000}"/>
    <cellStyle name="s_DCF Inputs_1" xfId="2608" xr:uid="{00000000-0005-0000-0000-00009F100000}"/>
    <cellStyle name="s_DCF Inputs_1_Comparativo VP FIN v1_So 2008" xfId="7647" xr:uid="{00000000-0005-0000-0000-0000A0100000}"/>
    <cellStyle name="s_DCF Inputs_1_Comparativo VP MKT 2008 v1_So 2008" xfId="7648" xr:uid="{00000000-0005-0000-0000-0000A1100000}"/>
    <cellStyle name="s_DCF Inputs_1_Comparativo VP TEC 2008 v1_So 2008" xfId="7649" xr:uid="{00000000-0005-0000-0000-0000A2100000}"/>
    <cellStyle name="s_DCF Inputs_1_Comparativo VP TEC 2008_Luiz Sergio" xfId="7650" xr:uid="{00000000-0005-0000-0000-0000A3100000}"/>
    <cellStyle name="s_DCF Inputs_1_Cópia de Modelo - Fluxo de Caixa Orcamento 09052009_V36_3" xfId="2609" xr:uid="{00000000-0005-0000-0000-0000A4100000}"/>
    <cellStyle name="s_DCF Inputs_1_Fluxo de Caixa Orcamento FINAL_13052009" xfId="2610" xr:uid="{00000000-0005-0000-0000-0000A5100000}"/>
    <cellStyle name="s_DCF Inputs_1_FM_dummyV4" xfId="2611" xr:uid="{00000000-0005-0000-0000-0000A6100000}"/>
    <cellStyle name="s_DCF Inputs_1_lalur" xfId="2612" xr:uid="{00000000-0005-0000-0000-0000A7100000}"/>
    <cellStyle name="s_DCF Inputs_1_Leasing_V3" xfId="2613" xr:uid="{00000000-0005-0000-0000-0000A8100000}"/>
    <cellStyle name="s_DCF Inputs_1_MODELO PDP III" xfId="2614" xr:uid="{00000000-0005-0000-0000-0000A9100000}"/>
    <cellStyle name="s_DCF Inputs_1_ORÇ_2009" xfId="2615" xr:uid="{00000000-0005-0000-0000-0000AA100000}"/>
    <cellStyle name="s_DCF Inputs_1_Pasta2" xfId="2616" xr:uid="{00000000-0005-0000-0000-0000AB100000}"/>
    <cellStyle name="s_DCF Inputs_2" xfId="2617" xr:uid="{00000000-0005-0000-0000-0000AC100000}"/>
    <cellStyle name="s_DCF Inputs_2_Comparativo VP FIN v1_So 2008" xfId="7651" xr:uid="{00000000-0005-0000-0000-0000AD100000}"/>
    <cellStyle name="s_DCF Inputs_2_Comparativo VP MKT 2008 v1_So 2008" xfId="7652" xr:uid="{00000000-0005-0000-0000-0000AE100000}"/>
    <cellStyle name="s_DCF Inputs_2_Comparativo VP TEC 2008 v1_So 2008" xfId="7653" xr:uid="{00000000-0005-0000-0000-0000AF100000}"/>
    <cellStyle name="s_DCF Inputs_2_Comparativo VP TEC 2008_Luiz Sergio" xfId="7654" xr:uid="{00000000-0005-0000-0000-0000B0100000}"/>
    <cellStyle name="s_DCF Inputs_2_Cópia de Modelo - Fluxo de Caixa Orcamento 09052009_V36_3" xfId="2618" xr:uid="{00000000-0005-0000-0000-0000B1100000}"/>
    <cellStyle name="s_DCF Inputs_2_Fluxo de Caixa Orcamento FINAL_13052009" xfId="2619" xr:uid="{00000000-0005-0000-0000-0000B2100000}"/>
    <cellStyle name="s_DCF Inputs_2_FM_dummyV4" xfId="2620" xr:uid="{00000000-0005-0000-0000-0000B3100000}"/>
    <cellStyle name="s_DCF Inputs_2_lalur" xfId="2621" xr:uid="{00000000-0005-0000-0000-0000B4100000}"/>
    <cellStyle name="s_DCF Inputs_2_Leasing_V3" xfId="2622" xr:uid="{00000000-0005-0000-0000-0000B5100000}"/>
    <cellStyle name="s_DCF Inputs_2_MODELO PDP III" xfId="2623" xr:uid="{00000000-0005-0000-0000-0000B6100000}"/>
    <cellStyle name="s_DCF Inputs_2_ORÇ_2009" xfId="2624" xr:uid="{00000000-0005-0000-0000-0000B7100000}"/>
    <cellStyle name="s_DCF Inputs_2_Pasta2" xfId="2625" xr:uid="{00000000-0005-0000-0000-0000B8100000}"/>
    <cellStyle name="s_DCF Inputs_AM0909" xfId="2626" xr:uid="{00000000-0005-0000-0000-0000B9100000}"/>
    <cellStyle name="s_DCF Inputs_AM0909_Comparativo VP FIN v1_So 2008" xfId="7655" xr:uid="{00000000-0005-0000-0000-0000BA100000}"/>
    <cellStyle name="s_DCF Inputs_AM0909_Comparativo VP MKT 2008 v1_So 2008" xfId="7656" xr:uid="{00000000-0005-0000-0000-0000BB100000}"/>
    <cellStyle name="s_DCF Inputs_AM0909_Comparativo VP TEC 2008 v1_So 2008" xfId="7657" xr:uid="{00000000-0005-0000-0000-0000BC100000}"/>
    <cellStyle name="s_DCF Inputs_AM0909_Comparativo VP TEC 2008_Luiz Sergio" xfId="7658" xr:uid="{00000000-0005-0000-0000-0000BD100000}"/>
    <cellStyle name="s_DCF Inputs_AM0909_Cópia de Modelo - Fluxo de Caixa Orcamento 09052009_V36_3" xfId="2627" xr:uid="{00000000-0005-0000-0000-0000BE100000}"/>
    <cellStyle name="s_DCF Inputs_AM0909_Fluxo de Caixa Orcamento FINAL_13052009" xfId="2628" xr:uid="{00000000-0005-0000-0000-0000BF100000}"/>
    <cellStyle name="s_DCF Inputs_AM0909_FM_dummyV4" xfId="2629" xr:uid="{00000000-0005-0000-0000-0000C0100000}"/>
    <cellStyle name="s_DCF Inputs_AM0909_lalur" xfId="2630" xr:uid="{00000000-0005-0000-0000-0000C1100000}"/>
    <cellStyle name="s_DCF Inputs_AM0909_Leasing_V3" xfId="2631" xr:uid="{00000000-0005-0000-0000-0000C2100000}"/>
    <cellStyle name="s_DCF Inputs_AM0909_MODELO PDP III" xfId="2632" xr:uid="{00000000-0005-0000-0000-0000C3100000}"/>
    <cellStyle name="s_DCF Inputs_AM0909_ORÇ_2009" xfId="2633" xr:uid="{00000000-0005-0000-0000-0000C4100000}"/>
    <cellStyle name="s_DCF Inputs_AM0909_Pasta2" xfId="2634" xr:uid="{00000000-0005-0000-0000-0000C5100000}"/>
    <cellStyle name="s_DCF Inputs_Brenner" xfId="2635" xr:uid="{00000000-0005-0000-0000-0000C6100000}"/>
    <cellStyle name="s_DCF Inputs_Brenner_Comparativo VP FIN v1_So 2008" xfId="7659" xr:uid="{00000000-0005-0000-0000-0000C7100000}"/>
    <cellStyle name="s_DCF Inputs_Brenner_Comparativo VP MKT 2008 v1_So 2008" xfId="7660" xr:uid="{00000000-0005-0000-0000-0000C8100000}"/>
    <cellStyle name="s_DCF Inputs_Brenner_Comparativo VP TEC 2008 v1_So 2008" xfId="7661" xr:uid="{00000000-0005-0000-0000-0000C9100000}"/>
    <cellStyle name="s_DCF Inputs_Brenner_Comparativo VP TEC 2008_Luiz Sergio" xfId="7662" xr:uid="{00000000-0005-0000-0000-0000CA100000}"/>
    <cellStyle name="s_DCF Inputs_Brenner_Cópia de Modelo - Fluxo de Caixa Orcamento 09052009_V36_3" xfId="2636" xr:uid="{00000000-0005-0000-0000-0000CB100000}"/>
    <cellStyle name="s_DCF Inputs_Brenner_Fluxo de Caixa Orcamento FINAL_13052009" xfId="2637" xr:uid="{00000000-0005-0000-0000-0000CC100000}"/>
    <cellStyle name="s_DCF Inputs_Brenner_FM_dummyV4" xfId="2638" xr:uid="{00000000-0005-0000-0000-0000CD100000}"/>
    <cellStyle name="s_DCF Inputs_Brenner_lalur" xfId="2639" xr:uid="{00000000-0005-0000-0000-0000CE100000}"/>
    <cellStyle name="s_DCF Inputs_Brenner_Leasing_V3" xfId="2640" xr:uid="{00000000-0005-0000-0000-0000CF100000}"/>
    <cellStyle name="s_DCF Inputs_Brenner_MODELO PDP III" xfId="2641" xr:uid="{00000000-0005-0000-0000-0000D0100000}"/>
    <cellStyle name="s_DCF Inputs_Brenner_ORÇ_2009" xfId="2642" xr:uid="{00000000-0005-0000-0000-0000D1100000}"/>
    <cellStyle name="s_DCF Inputs_Brenner_Pasta2" xfId="2643" xr:uid="{00000000-0005-0000-0000-0000D2100000}"/>
    <cellStyle name="s_DCF Inputs_Comparativo VP FIN v1_So 2008" xfId="7663" xr:uid="{00000000-0005-0000-0000-0000D3100000}"/>
    <cellStyle name="s_DCF Inputs_Comparativo VP MKT 2008 v1_So 2008" xfId="7664" xr:uid="{00000000-0005-0000-0000-0000D4100000}"/>
    <cellStyle name="s_DCF Inputs_Comparativo VP TEC 2008 v1_So 2008" xfId="7665" xr:uid="{00000000-0005-0000-0000-0000D5100000}"/>
    <cellStyle name="s_DCF Inputs_Comparativo VP TEC 2008_Luiz Sergio" xfId="7666" xr:uid="{00000000-0005-0000-0000-0000D6100000}"/>
    <cellStyle name="s_DCF Inputs_Cópia de Modelo - Fluxo de Caixa Orcamento 09052009_V36_3" xfId="2644" xr:uid="{00000000-0005-0000-0000-0000D7100000}"/>
    <cellStyle name="s_DCF Inputs_Fluxo de Caixa Orcamento FINAL_13052009" xfId="2645" xr:uid="{00000000-0005-0000-0000-0000D8100000}"/>
    <cellStyle name="s_DCF Inputs_FM_dummyV4" xfId="2646" xr:uid="{00000000-0005-0000-0000-0000D9100000}"/>
    <cellStyle name="s_DCF Inputs_lalur" xfId="2647" xr:uid="{00000000-0005-0000-0000-0000DA100000}"/>
    <cellStyle name="s_DCF Inputs_Leasing_V3" xfId="2648" xr:uid="{00000000-0005-0000-0000-0000DB100000}"/>
    <cellStyle name="s_DCF Inputs_MODELO PDP III" xfId="2649" xr:uid="{00000000-0005-0000-0000-0000DC100000}"/>
    <cellStyle name="s_DCF Inputs_ORÇ_2009" xfId="2650" xr:uid="{00000000-0005-0000-0000-0000DD100000}"/>
    <cellStyle name="s_DCF Inputs_Pasta2" xfId="2651" xr:uid="{00000000-0005-0000-0000-0000DE100000}"/>
    <cellStyle name="s_DCF Matrix" xfId="2652" xr:uid="{00000000-0005-0000-0000-0000DF100000}"/>
    <cellStyle name="s_DCF Matrix (2)" xfId="2653" xr:uid="{00000000-0005-0000-0000-0000E0100000}"/>
    <cellStyle name="s_DCF Matrix (2)_1" xfId="2654" xr:uid="{00000000-0005-0000-0000-0000E1100000}"/>
    <cellStyle name="s_DCF Matrix (2)_1_Comparativo VP FIN v1_So 2008" xfId="7667" xr:uid="{00000000-0005-0000-0000-0000E2100000}"/>
    <cellStyle name="s_DCF Matrix (2)_1_Comparativo VP MKT 2008 v1_So 2008" xfId="7668" xr:uid="{00000000-0005-0000-0000-0000E3100000}"/>
    <cellStyle name="s_DCF Matrix (2)_1_Comparativo VP TEC 2008 v1_So 2008" xfId="7669" xr:uid="{00000000-0005-0000-0000-0000E4100000}"/>
    <cellStyle name="s_DCF Matrix (2)_1_Comparativo VP TEC 2008_Luiz Sergio" xfId="7670" xr:uid="{00000000-0005-0000-0000-0000E5100000}"/>
    <cellStyle name="s_DCF Matrix (2)_1_Cópia de Modelo - Fluxo de Caixa Orcamento 09052009_V36_3" xfId="2655" xr:uid="{00000000-0005-0000-0000-0000E6100000}"/>
    <cellStyle name="s_DCF Matrix (2)_1_Fluxo de Caixa Orcamento FINAL_13052009" xfId="2656" xr:uid="{00000000-0005-0000-0000-0000E7100000}"/>
    <cellStyle name="s_DCF Matrix (2)_1_FM_dummyV4" xfId="2657" xr:uid="{00000000-0005-0000-0000-0000E8100000}"/>
    <cellStyle name="s_DCF Matrix (2)_1_lalur" xfId="2658" xr:uid="{00000000-0005-0000-0000-0000E9100000}"/>
    <cellStyle name="s_DCF Matrix (2)_1_Leasing_V3" xfId="2659" xr:uid="{00000000-0005-0000-0000-0000EA100000}"/>
    <cellStyle name="s_DCF Matrix (2)_1_MODELO PDP III" xfId="2660" xr:uid="{00000000-0005-0000-0000-0000EB100000}"/>
    <cellStyle name="s_DCF Matrix (2)_1_ORÇ_2009" xfId="2661" xr:uid="{00000000-0005-0000-0000-0000EC100000}"/>
    <cellStyle name="s_DCF Matrix (2)_1_Pasta2" xfId="2662" xr:uid="{00000000-0005-0000-0000-0000ED100000}"/>
    <cellStyle name="s_DCF Matrix (2)_2" xfId="2663" xr:uid="{00000000-0005-0000-0000-0000EE100000}"/>
    <cellStyle name="s_DCF Matrix (2)_2_Celtic DCF" xfId="2664" xr:uid="{00000000-0005-0000-0000-0000EF100000}"/>
    <cellStyle name="s_DCF Matrix (2)_2_Celtic DCF Inputs" xfId="2665" xr:uid="{00000000-0005-0000-0000-0000F0100000}"/>
    <cellStyle name="s_DCF Matrix (2)_2_Celtic DCF Inputs_Comparativo VP FIN v1_So 2008" xfId="7671" xr:uid="{00000000-0005-0000-0000-0000F1100000}"/>
    <cellStyle name="s_DCF Matrix (2)_2_Celtic DCF Inputs_Comparativo VP MKT 2008 v1_So 2008" xfId="7672" xr:uid="{00000000-0005-0000-0000-0000F2100000}"/>
    <cellStyle name="s_DCF Matrix (2)_2_Celtic DCF Inputs_Comparativo VP TEC 2008 v1_So 2008" xfId="7673" xr:uid="{00000000-0005-0000-0000-0000F3100000}"/>
    <cellStyle name="s_DCF Matrix (2)_2_Celtic DCF Inputs_Comparativo VP TEC 2008_Luiz Sergio" xfId="7674" xr:uid="{00000000-0005-0000-0000-0000F4100000}"/>
    <cellStyle name="s_DCF Matrix (2)_2_Celtic DCF Inputs_Cópia de Modelo - Fluxo de Caixa Orcamento 09052009_V36_3" xfId="2666" xr:uid="{00000000-0005-0000-0000-0000F5100000}"/>
    <cellStyle name="s_DCF Matrix (2)_2_Celtic DCF Inputs_Fluxo de Caixa Orcamento FINAL_13052009" xfId="2667" xr:uid="{00000000-0005-0000-0000-0000F6100000}"/>
    <cellStyle name="s_DCF Matrix (2)_2_Celtic DCF Inputs_FM_dummyV4" xfId="2668" xr:uid="{00000000-0005-0000-0000-0000F7100000}"/>
    <cellStyle name="s_DCF Matrix (2)_2_Celtic DCF Inputs_lalur" xfId="2669" xr:uid="{00000000-0005-0000-0000-0000F8100000}"/>
    <cellStyle name="s_DCF Matrix (2)_2_Celtic DCF Inputs_Leasing_V3" xfId="2670" xr:uid="{00000000-0005-0000-0000-0000F9100000}"/>
    <cellStyle name="s_DCF Matrix (2)_2_Celtic DCF Inputs_MODELO PDP III" xfId="2671" xr:uid="{00000000-0005-0000-0000-0000FA100000}"/>
    <cellStyle name="s_DCF Matrix (2)_2_Celtic DCF Inputs_ORÇ_2009" xfId="2672" xr:uid="{00000000-0005-0000-0000-0000FB100000}"/>
    <cellStyle name="s_DCF Matrix (2)_2_Celtic DCF Inputs_Pasta2" xfId="2673" xr:uid="{00000000-0005-0000-0000-0000FC100000}"/>
    <cellStyle name="s_DCF Matrix (2)_2_Celtic DCF_Comparativo VP FIN v1_So 2008" xfId="7675" xr:uid="{00000000-0005-0000-0000-0000FD100000}"/>
    <cellStyle name="s_DCF Matrix (2)_2_Celtic DCF_Comparativo VP MKT 2008 v1_So 2008" xfId="7676" xr:uid="{00000000-0005-0000-0000-0000FE100000}"/>
    <cellStyle name="s_DCF Matrix (2)_2_Celtic DCF_Comparativo VP TEC 2008 v1_So 2008" xfId="7677" xr:uid="{00000000-0005-0000-0000-0000FF100000}"/>
    <cellStyle name="s_DCF Matrix (2)_2_Celtic DCF_Comparativo VP TEC 2008_Luiz Sergio" xfId="7678" xr:uid="{00000000-0005-0000-0000-000000110000}"/>
    <cellStyle name="s_DCF Matrix (2)_2_Celtic DCF_Cópia de Modelo - Fluxo de Caixa Orcamento 09052009_V36_3" xfId="2674" xr:uid="{00000000-0005-0000-0000-000001110000}"/>
    <cellStyle name="s_DCF Matrix (2)_2_Celtic DCF_Fluxo de Caixa Orcamento FINAL_13052009" xfId="2675" xr:uid="{00000000-0005-0000-0000-000002110000}"/>
    <cellStyle name="s_DCF Matrix (2)_2_Celtic DCF_FM_dummyV4" xfId="2676" xr:uid="{00000000-0005-0000-0000-000003110000}"/>
    <cellStyle name="s_DCF Matrix (2)_2_Celtic DCF_lalur" xfId="2677" xr:uid="{00000000-0005-0000-0000-000004110000}"/>
    <cellStyle name="s_DCF Matrix (2)_2_Celtic DCF_Leasing_V3" xfId="2678" xr:uid="{00000000-0005-0000-0000-000005110000}"/>
    <cellStyle name="s_DCF Matrix (2)_2_Celtic DCF_MODELO PDP III" xfId="2679" xr:uid="{00000000-0005-0000-0000-000006110000}"/>
    <cellStyle name="s_DCF Matrix (2)_2_Celtic DCF_ORÇ_2009" xfId="2680" xr:uid="{00000000-0005-0000-0000-000007110000}"/>
    <cellStyle name="s_DCF Matrix (2)_2_Celtic DCF_Pasta2" xfId="2681" xr:uid="{00000000-0005-0000-0000-000008110000}"/>
    <cellStyle name="s_DCF Matrix (2)_2_Comparativo VP FIN v1_So 2008" xfId="7679" xr:uid="{00000000-0005-0000-0000-000009110000}"/>
    <cellStyle name="s_DCF Matrix (2)_2_Comparativo VP MKT 2008 v1_So 2008" xfId="7680" xr:uid="{00000000-0005-0000-0000-00000A110000}"/>
    <cellStyle name="s_DCF Matrix (2)_2_Comparativo VP TEC 2008 v1_So 2008" xfId="7681" xr:uid="{00000000-0005-0000-0000-00000B110000}"/>
    <cellStyle name="s_DCF Matrix (2)_2_Comparativo VP TEC 2008_Luiz Sergio" xfId="7682" xr:uid="{00000000-0005-0000-0000-00000C110000}"/>
    <cellStyle name="s_DCF Matrix (2)_2_Cópia de Modelo - Fluxo de Caixa Orcamento 09052009_V36_3" xfId="2682" xr:uid="{00000000-0005-0000-0000-00000D110000}"/>
    <cellStyle name="s_DCF Matrix (2)_2_Fluxo de Caixa Orcamento FINAL_13052009" xfId="2683" xr:uid="{00000000-0005-0000-0000-00000E110000}"/>
    <cellStyle name="s_DCF Matrix (2)_2_FM_dummyV4" xfId="2684" xr:uid="{00000000-0005-0000-0000-00000F110000}"/>
    <cellStyle name="s_DCF Matrix (2)_2_lalur" xfId="2685" xr:uid="{00000000-0005-0000-0000-000010110000}"/>
    <cellStyle name="s_DCF Matrix (2)_2_Leasing_V3" xfId="2686" xr:uid="{00000000-0005-0000-0000-000011110000}"/>
    <cellStyle name="s_DCF Matrix (2)_2_MODELO PDP III" xfId="2687" xr:uid="{00000000-0005-0000-0000-000012110000}"/>
    <cellStyle name="s_DCF Matrix (2)_2_ORÇ_2009" xfId="2688" xr:uid="{00000000-0005-0000-0000-000013110000}"/>
    <cellStyle name="s_DCF Matrix (2)_2_Pasta2" xfId="2689" xr:uid="{00000000-0005-0000-0000-000014110000}"/>
    <cellStyle name="s_DCF Matrix (2)_2_Valuation Summary" xfId="2690" xr:uid="{00000000-0005-0000-0000-000015110000}"/>
    <cellStyle name="s_DCF Matrix (2)_2_Valuation Summary_Comparativo VP FIN v1_So 2008" xfId="7683" xr:uid="{00000000-0005-0000-0000-000016110000}"/>
    <cellStyle name="s_DCF Matrix (2)_2_Valuation Summary_Comparativo VP MKT 2008 v1_So 2008" xfId="7684" xr:uid="{00000000-0005-0000-0000-000017110000}"/>
    <cellStyle name="s_DCF Matrix (2)_2_Valuation Summary_Comparativo VP TEC 2008 v1_So 2008" xfId="7685" xr:uid="{00000000-0005-0000-0000-000018110000}"/>
    <cellStyle name="s_DCF Matrix (2)_2_Valuation Summary_Comparativo VP TEC 2008_Luiz Sergio" xfId="7686" xr:uid="{00000000-0005-0000-0000-000019110000}"/>
    <cellStyle name="s_DCF Matrix (2)_2_Valuation Summary_Cópia de Modelo - Fluxo de Caixa Orcamento 09052009_V36_3" xfId="2691" xr:uid="{00000000-0005-0000-0000-00001A110000}"/>
    <cellStyle name="s_DCF Matrix (2)_2_Valuation Summary_Fluxo de Caixa Orcamento FINAL_13052009" xfId="2692" xr:uid="{00000000-0005-0000-0000-00001B110000}"/>
    <cellStyle name="s_DCF Matrix (2)_2_Valuation Summary_FM_dummyV4" xfId="2693" xr:uid="{00000000-0005-0000-0000-00001C110000}"/>
    <cellStyle name="s_DCF Matrix (2)_2_Valuation Summary_lalur" xfId="2694" xr:uid="{00000000-0005-0000-0000-00001D110000}"/>
    <cellStyle name="s_DCF Matrix (2)_2_Valuation Summary_Leasing_V3" xfId="2695" xr:uid="{00000000-0005-0000-0000-00001E110000}"/>
    <cellStyle name="s_DCF Matrix (2)_2_Valuation Summary_MODELO PDP III" xfId="2696" xr:uid="{00000000-0005-0000-0000-00001F110000}"/>
    <cellStyle name="s_DCF Matrix (2)_2_Valuation Summary_ORÇ_2009" xfId="2697" xr:uid="{00000000-0005-0000-0000-000020110000}"/>
    <cellStyle name="s_DCF Matrix (2)_2_Valuation Summary_Pasta2" xfId="2698" xr:uid="{00000000-0005-0000-0000-000021110000}"/>
    <cellStyle name="s_DCF Matrix (2)_Comparativo VP FIN v1_So 2008" xfId="7687" xr:uid="{00000000-0005-0000-0000-000022110000}"/>
    <cellStyle name="s_DCF Matrix (2)_Comparativo VP MKT 2008 v1_So 2008" xfId="7688" xr:uid="{00000000-0005-0000-0000-000023110000}"/>
    <cellStyle name="s_DCF Matrix (2)_Comparativo VP TEC 2008 v1_So 2008" xfId="7689" xr:uid="{00000000-0005-0000-0000-000024110000}"/>
    <cellStyle name="s_DCF Matrix (2)_Comparativo VP TEC 2008_Luiz Sergio" xfId="7690" xr:uid="{00000000-0005-0000-0000-000025110000}"/>
    <cellStyle name="s_DCF Matrix (2)_Cópia de Modelo - Fluxo de Caixa Orcamento 09052009_V36_3" xfId="2699" xr:uid="{00000000-0005-0000-0000-000026110000}"/>
    <cellStyle name="s_DCF Matrix (2)_Fluxo de Caixa Orcamento FINAL_13052009" xfId="2700" xr:uid="{00000000-0005-0000-0000-000027110000}"/>
    <cellStyle name="s_DCF Matrix (2)_FM_dummyV4" xfId="2701" xr:uid="{00000000-0005-0000-0000-000028110000}"/>
    <cellStyle name="s_DCF Matrix (2)_lalur" xfId="2702" xr:uid="{00000000-0005-0000-0000-000029110000}"/>
    <cellStyle name="s_DCF Matrix (2)_Leasing_V3" xfId="2703" xr:uid="{00000000-0005-0000-0000-00002A110000}"/>
    <cellStyle name="s_DCF Matrix (2)_MODELO PDP III" xfId="2704" xr:uid="{00000000-0005-0000-0000-00002B110000}"/>
    <cellStyle name="s_DCF Matrix (2)_ORÇ_2009" xfId="2705" xr:uid="{00000000-0005-0000-0000-00002C110000}"/>
    <cellStyle name="s_DCF Matrix (2)_Pasta2" xfId="2706" xr:uid="{00000000-0005-0000-0000-00002D110000}"/>
    <cellStyle name="s_DCF Matrix_1" xfId="2707" xr:uid="{00000000-0005-0000-0000-00002E110000}"/>
    <cellStyle name="s_DCF Matrix_1_AM0909" xfId="2708" xr:uid="{00000000-0005-0000-0000-00002F110000}"/>
    <cellStyle name="s_DCF Matrix_1_AM0909_Comparativo VP FIN v1_So 2008" xfId="7691" xr:uid="{00000000-0005-0000-0000-000030110000}"/>
    <cellStyle name="s_DCF Matrix_1_AM0909_Comparativo VP MKT 2008 v1_So 2008" xfId="7692" xr:uid="{00000000-0005-0000-0000-000031110000}"/>
    <cellStyle name="s_DCF Matrix_1_AM0909_Comparativo VP TEC 2008 v1_So 2008" xfId="7693" xr:uid="{00000000-0005-0000-0000-000032110000}"/>
    <cellStyle name="s_DCF Matrix_1_AM0909_Comparativo VP TEC 2008_Luiz Sergio" xfId="7694" xr:uid="{00000000-0005-0000-0000-000033110000}"/>
    <cellStyle name="s_DCF Matrix_1_AM0909_Cópia de Modelo - Fluxo de Caixa Orcamento 09052009_V36_3" xfId="2709" xr:uid="{00000000-0005-0000-0000-000034110000}"/>
    <cellStyle name="s_DCF Matrix_1_AM0909_Fluxo de Caixa Orcamento FINAL_13052009" xfId="2710" xr:uid="{00000000-0005-0000-0000-000035110000}"/>
    <cellStyle name="s_DCF Matrix_1_AM0909_FM_dummyV4" xfId="2711" xr:uid="{00000000-0005-0000-0000-000036110000}"/>
    <cellStyle name="s_DCF Matrix_1_AM0909_lalur" xfId="2712" xr:uid="{00000000-0005-0000-0000-000037110000}"/>
    <cellStyle name="s_DCF Matrix_1_AM0909_Leasing_V3" xfId="2713" xr:uid="{00000000-0005-0000-0000-000038110000}"/>
    <cellStyle name="s_DCF Matrix_1_AM0909_MODELO PDP III" xfId="2714" xr:uid="{00000000-0005-0000-0000-000039110000}"/>
    <cellStyle name="s_DCF Matrix_1_AM0909_ORÇ_2009" xfId="2715" xr:uid="{00000000-0005-0000-0000-00003A110000}"/>
    <cellStyle name="s_DCF Matrix_1_AM0909_Pasta2" xfId="2716" xr:uid="{00000000-0005-0000-0000-00003B110000}"/>
    <cellStyle name="s_DCF Matrix_1_Brenner" xfId="2717" xr:uid="{00000000-0005-0000-0000-00003C110000}"/>
    <cellStyle name="s_DCF Matrix_1_Brenner_Comparativo VP FIN v1_So 2008" xfId="7695" xr:uid="{00000000-0005-0000-0000-00003D110000}"/>
    <cellStyle name="s_DCF Matrix_1_Brenner_Comparativo VP MKT 2008 v1_So 2008" xfId="7696" xr:uid="{00000000-0005-0000-0000-00003E110000}"/>
    <cellStyle name="s_DCF Matrix_1_Brenner_Comparativo VP TEC 2008 v1_So 2008" xfId="7697" xr:uid="{00000000-0005-0000-0000-00003F110000}"/>
    <cellStyle name="s_DCF Matrix_1_Brenner_Comparativo VP TEC 2008_Luiz Sergio" xfId="7698" xr:uid="{00000000-0005-0000-0000-000040110000}"/>
    <cellStyle name="s_DCF Matrix_1_Brenner_Cópia de Modelo - Fluxo de Caixa Orcamento 09052009_V36_3" xfId="2718" xr:uid="{00000000-0005-0000-0000-000041110000}"/>
    <cellStyle name="s_DCF Matrix_1_Brenner_Fluxo de Caixa Orcamento FINAL_13052009" xfId="2719" xr:uid="{00000000-0005-0000-0000-000042110000}"/>
    <cellStyle name="s_DCF Matrix_1_Brenner_FM_dummyV4" xfId="2720" xr:uid="{00000000-0005-0000-0000-000043110000}"/>
    <cellStyle name="s_DCF Matrix_1_Brenner_lalur" xfId="2721" xr:uid="{00000000-0005-0000-0000-000044110000}"/>
    <cellStyle name="s_DCF Matrix_1_Brenner_Leasing_V3" xfId="2722" xr:uid="{00000000-0005-0000-0000-000045110000}"/>
    <cellStyle name="s_DCF Matrix_1_Brenner_MODELO PDP III" xfId="2723" xr:uid="{00000000-0005-0000-0000-000046110000}"/>
    <cellStyle name="s_DCF Matrix_1_Brenner_ORÇ_2009" xfId="2724" xr:uid="{00000000-0005-0000-0000-000047110000}"/>
    <cellStyle name="s_DCF Matrix_1_Brenner_Pasta2" xfId="2725" xr:uid="{00000000-0005-0000-0000-000048110000}"/>
    <cellStyle name="s_DCF Matrix_1_Comparativo VP FIN v1_So 2008" xfId="7699" xr:uid="{00000000-0005-0000-0000-000049110000}"/>
    <cellStyle name="s_DCF Matrix_1_Comparativo VP MKT 2008 v1_So 2008" xfId="7700" xr:uid="{00000000-0005-0000-0000-00004A110000}"/>
    <cellStyle name="s_DCF Matrix_1_Comparativo VP TEC 2008 v1_So 2008" xfId="7701" xr:uid="{00000000-0005-0000-0000-00004B110000}"/>
    <cellStyle name="s_DCF Matrix_1_Comparativo VP TEC 2008_Luiz Sergio" xfId="7702" xr:uid="{00000000-0005-0000-0000-00004C110000}"/>
    <cellStyle name="s_DCF Matrix_1_Cópia de Modelo - Fluxo de Caixa Orcamento 09052009_V36_3" xfId="2726" xr:uid="{00000000-0005-0000-0000-00004D110000}"/>
    <cellStyle name="s_DCF Matrix_1_Fluxo de Caixa Orcamento FINAL_13052009" xfId="2727" xr:uid="{00000000-0005-0000-0000-00004E110000}"/>
    <cellStyle name="s_DCF Matrix_1_FM_dummyV4" xfId="2728" xr:uid="{00000000-0005-0000-0000-00004F110000}"/>
    <cellStyle name="s_DCF Matrix_1_Hays Model (3-10-03)" xfId="2729" xr:uid="{00000000-0005-0000-0000-000050110000}"/>
    <cellStyle name="s_DCF Matrix_1_Hays Model (3-10-03)_Comparativo VP FIN v1_So 2008" xfId="7703" xr:uid="{00000000-0005-0000-0000-000051110000}"/>
    <cellStyle name="s_DCF Matrix_1_Hays Model (3-10-03)_Comparativo VP MKT 2008 v1_So 2008" xfId="7704" xr:uid="{00000000-0005-0000-0000-000052110000}"/>
    <cellStyle name="s_DCF Matrix_1_Hays Model (3-10-03)_Comparativo VP TEC 2008 v1_So 2008" xfId="7705" xr:uid="{00000000-0005-0000-0000-000053110000}"/>
    <cellStyle name="s_DCF Matrix_1_Hays Model (3-10-03)_Comparativo VP TEC 2008_Luiz Sergio" xfId="7706" xr:uid="{00000000-0005-0000-0000-000054110000}"/>
    <cellStyle name="s_DCF Matrix_1_Hays Model (3-10-03)_Cópia de Modelo - Fluxo de Caixa Orcamento 09052009_V36_3" xfId="2730" xr:uid="{00000000-0005-0000-0000-000055110000}"/>
    <cellStyle name="s_DCF Matrix_1_Hays Model (3-10-03)_Fluxo de Caixa Orcamento FINAL_13052009" xfId="2731" xr:uid="{00000000-0005-0000-0000-000056110000}"/>
    <cellStyle name="s_DCF Matrix_1_Hays Model (3-10-03)_FM_dummyV4" xfId="2732" xr:uid="{00000000-0005-0000-0000-000057110000}"/>
    <cellStyle name="s_DCF Matrix_1_Hays Model (3-10-03)_lalur" xfId="2733" xr:uid="{00000000-0005-0000-0000-000058110000}"/>
    <cellStyle name="s_DCF Matrix_1_Hays Model (3-10-03)_Leasing_V3" xfId="2734" xr:uid="{00000000-0005-0000-0000-000059110000}"/>
    <cellStyle name="s_DCF Matrix_1_Hays Model (3-10-03)_MODELO PDP III" xfId="2735" xr:uid="{00000000-0005-0000-0000-00005A110000}"/>
    <cellStyle name="s_DCF Matrix_1_Hays Model (3-10-03)_ORÇ_2009" xfId="2736" xr:uid="{00000000-0005-0000-0000-00005B110000}"/>
    <cellStyle name="s_DCF Matrix_1_Hays Model (3-10-03)_Pasta2" xfId="2737" xr:uid="{00000000-0005-0000-0000-00005C110000}"/>
    <cellStyle name="s_DCF Matrix_1_IPO" xfId="2738" xr:uid="{00000000-0005-0000-0000-00005D110000}"/>
    <cellStyle name="s_DCF Matrix_1_IPO_Comparativo VP FIN v1_So 2008" xfId="7707" xr:uid="{00000000-0005-0000-0000-00005E110000}"/>
    <cellStyle name="s_DCF Matrix_1_IPO_Comparativo VP MKT 2008 v1_So 2008" xfId="7708" xr:uid="{00000000-0005-0000-0000-00005F110000}"/>
    <cellStyle name="s_DCF Matrix_1_IPO_Comparativo VP TEC 2008 v1_So 2008" xfId="7709" xr:uid="{00000000-0005-0000-0000-000060110000}"/>
    <cellStyle name="s_DCF Matrix_1_IPO_Comparativo VP TEC 2008_Luiz Sergio" xfId="7710" xr:uid="{00000000-0005-0000-0000-000061110000}"/>
    <cellStyle name="s_DCF Matrix_1_IPO_Cópia de Modelo - Fluxo de Caixa Orcamento 09052009_V36_3" xfId="2739" xr:uid="{00000000-0005-0000-0000-000062110000}"/>
    <cellStyle name="s_DCF Matrix_1_IPO_Fluxo de Caixa Orcamento FINAL_13052009" xfId="2740" xr:uid="{00000000-0005-0000-0000-000063110000}"/>
    <cellStyle name="s_DCF Matrix_1_IPO_FM_dummyV4" xfId="2741" xr:uid="{00000000-0005-0000-0000-000064110000}"/>
    <cellStyle name="s_DCF Matrix_1_IPO_lalur" xfId="2742" xr:uid="{00000000-0005-0000-0000-000065110000}"/>
    <cellStyle name="s_DCF Matrix_1_IPO_Leasing_V3" xfId="2743" xr:uid="{00000000-0005-0000-0000-000066110000}"/>
    <cellStyle name="s_DCF Matrix_1_IPO_MODELO PDP III" xfId="2744" xr:uid="{00000000-0005-0000-0000-000067110000}"/>
    <cellStyle name="s_DCF Matrix_1_IPO_ORÇ_2009" xfId="2745" xr:uid="{00000000-0005-0000-0000-000068110000}"/>
    <cellStyle name="s_DCF Matrix_1_IPO_Pasta2" xfId="2746" xr:uid="{00000000-0005-0000-0000-000069110000}"/>
    <cellStyle name="s_DCF Matrix_1_lalur" xfId="2747" xr:uid="{00000000-0005-0000-0000-00006A110000}"/>
    <cellStyle name="s_DCF Matrix_1_LBO_02.07.02v2" xfId="2748" xr:uid="{00000000-0005-0000-0000-00006B110000}"/>
    <cellStyle name="s_DCF Matrix_1_LBO_02.07.02v2_Comparativo VP FIN v1_So 2008" xfId="7711" xr:uid="{00000000-0005-0000-0000-00006C110000}"/>
    <cellStyle name="s_DCF Matrix_1_LBO_02.07.02v2_Comparativo VP MKT 2008 v1_So 2008" xfId="7712" xr:uid="{00000000-0005-0000-0000-00006D110000}"/>
    <cellStyle name="s_DCF Matrix_1_LBO_02.07.02v2_Comparativo VP TEC 2008 v1_So 2008" xfId="7713" xr:uid="{00000000-0005-0000-0000-00006E110000}"/>
    <cellStyle name="s_DCF Matrix_1_LBO_02.07.02v2_Comparativo VP TEC 2008_Luiz Sergio" xfId="7714" xr:uid="{00000000-0005-0000-0000-00006F110000}"/>
    <cellStyle name="s_DCF Matrix_1_LBO_02.07.02v2_Cópia de Modelo - Fluxo de Caixa Orcamento 09052009_V36_3" xfId="2749" xr:uid="{00000000-0005-0000-0000-000070110000}"/>
    <cellStyle name="s_DCF Matrix_1_LBO_02.07.02v2_Fluxo de Caixa Orcamento FINAL_13052009" xfId="2750" xr:uid="{00000000-0005-0000-0000-000071110000}"/>
    <cellStyle name="s_DCF Matrix_1_LBO_02.07.02v2_FM_dummyV4" xfId="2751" xr:uid="{00000000-0005-0000-0000-000072110000}"/>
    <cellStyle name="s_DCF Matrix_1_LBO_02.07.02v2_lalur" xfId="2752" xr:uid="{00000000-0005-0000-0000-000073110000}"/>
    <cellStyle name="s_DCF Matrix_1_LBO_02.07.02v2_Leasing_V3" xfId="2753" xr:uid="{00000000-0005-0000-0000-000074110000}"/>
    <cellStyle name="s_DCF Matrix_1_LBO_02.07.02v2_MODELO PDP III" xfId="2754" xr:uid="{00000000-0005-0000-0000-000075110000}"/>
    <cellStyle name="s_DCF Matrix_1_LBO_02.07.02v2_ORÇ_2009" xfId="2755" xr:uid="{00000000-0005-0000-0000-000076110000}"/>
    <cellStyle name="s_DCF Matrix_1_LBO_02.07.02v2_Pasta2" xfId="2756" xr:uid="{00000000-0005-0000-0000-000077110000}"/>
    <cellStyle name="s_DCF Matrix_1_Leasing_V3" xfId="2757" xr:uid="{00000000-0005-0000-0000-000078110000}"/>
    <cellStyle name="s_DCF Matrix_1_MiniMerger7" xfId="2758" xr:uid="{00000000-0005-0000-0000-000079110000}"/>
    <cellStyle name="s_DCF Matrix_1_MiniMerger7_Comparativo VP FIN v1_So 2008" xfId="7715" xr:uid="{00000000-0005-0000-0000-00007A110000}"/>
    <cellStyle name="s_DCF Matrix_1_MiniMerger7_Comparativo VP MKT 2008 v1_So 2008" xfId="7716" xr:uid="{00000000-0005-0000-0000-00007B110000}"/>
    <cellStyle name="s_DCF Matrix_1_MiniMerger7_Comparativo VP TEC 2008 v1_So 2008" xfId="7717" xr:uid="{00000000-0005-0000-0000-00007C110000}"/>
    <cellStyle name="s_DCF Matrix_1_MiniMerger7_Comparativo VP TEC 2008_Luiz Sergio" xfId="7718" xr:uid="{00000000-0005-0000-0000-00007D110000}"/>
    <cellStyle name="s_DCF Matrix_1_MiniMerger7_Cópia de Modelo - Fluxo de Caixa Orcamento 09052009_V36_3" xfId="2759" xr:uid="{00000000-0005-0000-0000-00007E110000}"/>
    <cellStyle name="s_DCF Matrix_1_MiniMerger7_Fluxo de Caixa Orcamento FINAL_13052009" xfId="2760" xr:uid="{00000000-0005-0000-0000-00007F110000}"/>
    <cellStyle name="s_DCF Matrix_1_MiniMerger7_FM_dummyV4" xfId="2761" xr:uid="{00000000-0005-0000-0000-000080110000}"/>
    <cellStyle name="s_DCF Matrix_1_MiniMerger7_lalur" xfId="2762" xr:uid="{00000000-0005-0000-0000-000081110000}"/>
    <cellStyle name="s_DCF Matrix_1_MiniMerger7_Leasing_V3" xfId="2763" xr:uid="{00000000-0005-0000-0000-000082110000}"/>
    <cellStyle name="s_DCF Matrix_1_MiniMerger7_MODELO PDP III" xfId="2764" xr:uid="{00000000-0005-0000-0000-000083110000}"/>
    <cellStyle name="s_DCF Matrix_1_MiniMerger7_ORÇ_2009" xfId="2765" xr:uid="{00000000-0005-0000-0000-000084110000}"/>
    <cellStyle name="s_DCF Matrix_1_MiniMerger7_Pasta2" xfId="2766" xr:uid="{00000000-0005-0000-0000-000085110000}"/>
    <cellStyle name="s_DCF Matrix_1_MJS New Look Merger Model" xfId="2767" xr:uid="{00000000-0005-0000-0000-000086110000}"/>
    <cellStyle name="s_DCF Matrix_1_MJS New Look Merger Model_Comparativo VP FIN v1_So 2008" xfId="7719" xr:uid="{00000000-0005-0000-0000-000087110000}"/>
    <cellStyle name="s_DCF Matrix_1_MJS New Look Merger Model_Comparativo VP MKT 2008 v1_So 2008" xfId="7720" xr:uid="{00000000-0005-0000-0000-000088110000}"/>
    <cellStyle name="s_DCF Matrix_1_MJS New Look Merger Model_Comparativo VP TEC 2008 v1_So 2008" xfId="7721" xr:uid="{00000000-0005-0000-0000-000089110000}"/>
    <cellStyle name="s_DCF Matrix_1_MJS New Look Merger Model_Comparativo VP TEC 2008_Luiz Sergio" xfId="7722" xr:uid="{00000000-0005-0000-0000-00008A110000}"/>
    <cellStyle name="s_DCF Matrix_1_MJS New Look Merger Model_Cópia de Modelo - Fluxo de Caixa Orcamento 09052009_V36_3" xfId="2768" xr:uid="{00000000-0005-0000-0000-00008B110000}"/>
    <cellStyle name="s_DCF Matrix_1_MJS New Look Merger Model_Fluxo de Caixa Orcamento FINAL_13052009" xfId="2769" xr:uid="{00000000-0005-0000-0000-00008C110000}"/>
    <cellStyle name="s_DCF Matrix_1_MJS New Look Merger Model_FM_dummyV4" xfId="2770" xr:uid="{00000000-0005-0000-0000-00008D110000}"/>
    <cellStyle name="s_DCF Matrix_1_MJS New Look Merger Model_lalur" xfId="2771" xr:uid="{00000000-0005-0000-0000-00008E110000}"/>
    <cellStyle name="s_DCF Matrix_1_MJS New Look Merger Model_Leasing_V3" xfId="2772" xr:uid="{00000000-0005-0000-0000-00008F110000}"/>
    <cellStyle name="s_DCF Matrix_1_MJS New Look Merger Model_MODELO PDP III" xfId="2773" xr:uid="{00000000-0005-0000-0000-000090110000}"/>
    <cellStyle name="s_DCF Matrix_1_MJS New Look Merger Model_ORÇ_2009" xfId="2774" xr:uid="{00000000-0005-0000-0000-000091110000}"/>
    <cellStyle name="s_DCF Matrix_1_MJS New Look Merger Model_Pasta2" xfId="2775" xr:uid="{00000000-0005-0000-0000-000092110000}"/>
    <cellStyle name="s_DCF Matrix_1_MODELO PDP III" xfId="2776" xr:uid="{00000000-0005-0000-0000-000093110000}"/>
    <cellStyle name="s_DCF Matrix_1_ORÇ_2009" xfId="2777" xr:uid="{00000000-0005-0000-0000-000094110000}"/>
    <cellStyle name="s_DCF Matrix_1_Pasta2" xfId="2778" xr:uid="{00000000-0005-0000-0000-000095110000}"/>
    <cellStyle name="s_DCF Matrix_1_TransCore Model (2-13-03 - Cypress)" xfId="2779" xr:uid="{00000000-0005-0000-0000-000096110000}"/>
    <cellStyle name="s_DCF Matrix_1_TransCore Model (2-13-03 - Cypress)_Comparativo VP FIN v1_So 2008" xfId="7723" xr:uid="{00000000-0005-0000-0000-000097110000}"/>
    <cellStyle name="s_DCF Matrix_1_TransCore Model (2-13-03 - Cypress)_Comparativo VP MKT 2008 v1_So 2008" xfId="7724" xr:uid="{00000000-0005-0000-0000-000098110000}"/>
    <cellStyle name="s_DCF Matrix_1_TransCore Model (2-13-03 - Cypress)_Comparativo VP TEC 2008 v1_So 2008" xfId="7725" xr:uid="{00000000-0005-0000-0000-000099110000}"/>
    <cellStyle name="s_DCF Matrix_1_TransCore Model (2-13-03 - Cypress)_Comparativo VP TEC 2008_Luiz Sergio" xfId="7726" xr:uid="{00000000-0005-0000-0000-00009A110000}"/>
    <cellStyle name="s_DCF Matrix_1_TransCore Model (2-13-03 - Cypress)_Cópia de Modelo - Fluxo de Caixa Orcamento 09052009_V36_3" xfId="2780" xr:uid="{00000000-0005-0000-0000-00009B110000}"/>
    <cellStyle name="s_DCF Matrix_1_TransCore Model (2-13-03 - Cypress)_Fluxo de Caixa Orcamento FINAL_13052009" xfId="2781" xr:uid="{00000000-0005-0000-0000-00009C110000}"/>
    <cellStyle name="s_DCF Matrix_1_TransCore Model (2-13-03 - Cypress)_FM_dummyV4" xfId="2782" xr:uid="{00000000-0005-0000-0000-00009D110000}"/>
    <cellStyle name="s_DCF Matrix_1_TransCore Model (2-13-03 - Cypress)_lalur" xfId="2783" xr:uid="{00000000-0005-0000-0000-00009E110000}"/>
    <cellStyle name="s_DCF Matrix_1_TransCore Model (2-13-03 - Cypress)_Leasing_V3" xfId="2784" xr:uid="{00000000-0005-0000-0000-00009F110000}"/>
    <cellStyle name="s_DCF Matrix_1_TransCore Model (2-13-03 - Cypress)_MODELO PDP III" xfId="2785" xr:uid="{00000000-0005-0000-0000-0000A0110000}"/>
    <cellStyle name="s_DCF Matrix_1_TransCore Model (2-13-03 - Cypress)_ORÇ_2009" xfId="2786" xr:uid="{00000000-0005-0000-0000-0000A1110000}"/>
    <cellStyle name="s_DCF Matrix_1_TransCore Model (2-13-03 - Cypress)_Pasta2" xfId="2787" xr:uid="{00000000-0005-0000-0000-0000A2110000}"/>
    <cellStyle name="s_DCF Matrix_2" xfId="2788" xr:uid="{00000000-0005-0000-0000-0000A3110000}"/>
    <cellStyle name="s_DCF Matrix_2_AM0909" xfId="2789" xr:uid="{00000000-0005-0000-0000-0000A4110000}"/>
    <cellStyle name="s_DCF Matrix_2_AM0909_Comparativo VP FIN v1_So 2008" xfId="7727" xr:uid="{00000000-0005-0000-0000-0000A5110000}"/>
    <cellStyle name="s_DCF Matrix_2_AM0909_Comparativo VP MKT 2008 v1_So 2008" xfId="7728" xr:uid="{00000000-0005-0000-0000-0000A6110000}"/>
    <cellStyle name="s_DCF Matrix_2_AM0909_Comparativo VP TEC 2008 v1_So 2008" xfId="7729" xr:uid="{00000000-0005-0000-0000-0000A7110000}"/>
    <cellStyle name="s_DCF Matrix_2_AM0909_Comparativo VP TEC 2008_Luiz Sergio" xfId="7730" xr:uid="{00000000-0005-0000-0000-0000A8110000}"/>
    <cellStyle name="s_DCF Matrix_2_AM0909_Cópia de Modelo - Fluxo de Caixa Orcamento 09052009_V36_3" xfId="2790" xr:uid="{00000000-0005-0000-0000-0000A9110000}"/>
    <cellStyle name="s_DCF Matrix_2_AM0909_Fluxo de Caixa Orcamento FINAL_13052009" xfId="2791" xr:uid="{00000000-0005-0000-0000-0000AA110000}"/>
    <cellStyle name="s_DCF Matrix_2_AM0909_FM_dummyV4" xfId="2792" xr:uid="{00000000-0005-0000-0000-0000AB110000}"/>
    <cellStyle name="s_DCF Matrix_2_AM0909_lalur" xfId="2793" xr:uid="{00000000-0005-0000-0000-0000AC110000}"/>
    <cellStyle name="s_DCF Matrix_2_AM0909_Leasing_V3" xfId="2794" xr:uid="{00000000-0005-0000-0000-0000AD110000}"/>
    <cellStyle name="s_DCF Matrix_2_AM0909_MODELO PDP III" xfId="2795" xr:uid="{00000000-0005-0000-0000-0000AE110000}"/>
    <cellStyle name="s_DCF Matrix_2_AM0909_ORÇ_2009" xfId="2796" xr:uid="{00000000-0005-0000-0000-0000AF110000}"/>
    <cellStyle name="s_DCF Matrix_2_AM0909_Pasta2" xfId="2797" xr:uid="{00000000-0005-0000-0000-0000B0110000}"/>
    <cellStyle name="s_DCF Matrix_2_Brenner" xfId="2798" xr:uid="{00000000-0005-0000-0000-0000B1110000}"/>
    <cellStyle name="s_DCF Matrix_2_Brenner_Comparativo VP FIN v1_So 2008" xfId="7731" xr:uid="{00000000-0005-0000-0000-0000B2110000}"/>
    <cellStyle name="s_DCF Matrix_2_Brenner_Comparativo VP MKT 2008 v1_So 2008" xfId="7732" xr:uid="{00000000-0005-0000-0000-0000B3110000}"/>
    <cellStyle name="s_DCF Matrix_2_Brenner_Comparativo VP TEC 2008 v1_So 2008" xfId="7733" xr:uid="{00000000-0005-0000-0000-0000B4110000}"/>
    <cellStyle name="s_DCF Matrix_2_Brenner_Comparativo VP TEC 2008_Luiz Sergio" xfId="7734" xr:uid="{00000000-0005-0000-0000-0000B5110000}"/>
    <cellStyle name="s_DCF Matrix_2_Brenner_Cópia de Modelo - Fluxo de Caixa Orcamento 09052009_V36_3" xfId="2799" xr:uid="{00000000-0005-0000-0000-0000B6110000}"/>
    <cellStyle name="s_DCF Matrix_2_Brenner_Fluxo de Caixa Orcamento FINAL_13052009" xfId="2800" xr:uid="{00000000-0005-0000-0000-0000B7110000}"/>
    <cellStyle name="s_DCF Matrix_2_Brenner_FM_dummyV4" xfId="2801" xr:uid="{00000000-0005-0000-0000-0000B8110000}"/>
    <cellStyle name="s_DCF Matrix_2_Brenner_lalur" xfId="2802" xr:uid="{00000000-0005-0000-0000-0000B9110000}"/>
    <cellStyle name="s_DCF Matrix_2_Brenner_Leasing_V3" xfId="2803" xr:uid="{00000000-0005-0000-0000-0000BA110000}"/>
    <cellStyle name="s_DCF Matrix_2_Brenner_MODELO PDP III" xfId="2804" xr:uid="{00000000-0005-0000-0000-0000BB110000}"/>
    <cellStyle name="s_DCF Matrix_2_Brenner_ORÇ_2009" xfId="2805" xr:uid="{00000000-0005-0000-0000-0000BC110000}"/>
    <cellStyle name="s_DCF Matrix_2_Brenner_Pasta2" xfId="2806" xr:uid="{00000000-0005-0000-0000-0000BD110000}"/>
    <cellStyle name="s_DCF Matrix_2_Comparativo VP FIN v1_So 2008" xfId="7735" xr:uid="{00000000-0005-0000-0000-0000BE110000}"/>
    <cellStyle name="s_DCF Matrix_2_Comparativo VP MKT 2008 v1_So 2008" xfId="7736" xr:uid="{00000000-0005-0000-0000-0000BF110000}"/>
    <cellStyle name="s_DCF Matrix_2_Comparativo VP TEC 2008 v1_So 2008" xfId="7737" xr:uid="{00000000-0005-0000-0000-0000C0110000}"/>
    <cellStyle name="s_DCF Matrix_2_Comparativo VP TEC 2008_Luiz Sergio" xfId="7738" xr:uid="{00000000-0005-0000-0000-0000C1110000}"/>
    <cellStyle name="s_DCF Matrix_2_Cópia de Modelo - Fluxo de Caixa Orcamento 09052009_V36_3" xfId="2807" xr:uid="{00000000-0005-0000-0000-0000C2110000}"/>
    <cellStyle name="s_DCF Matrix_2_Fluxo de Caixa Orcamento FINAL_13052009" xfId="2808" xr:uid="{00000000-0005-0000-0000-0000C3110000}"/>
    <cellStyle name="s_DCF Matrix_2_FM_dummyV4" xfId="2809" xr:uid="{00000000-0005-0000-0000-0000C4110000}"/>
    <cellStyle name="s_DCF Matrix_2_lalur" xfId="2810" xr:uid="{00000000-0005-0000-0000-0000C5110000}"/>
    <cellStyle name="s_DCF Matrix_2_Leasing_V3" xfId="2811" xr:uid="{00000000-0005-0000-0000-0000C6110000}"/>
    <cellStyle name="s_DCF Matrix_2_MODELO PDP III" xfId="2812" xr:uid="{00000000-0005-0000-0000-0000C7110000}"/>
    <cellStyle name="s_DCF Matrix_2_ORÇ_2009" xfId="2813" xr:uid="{00000000-0005-0000-0000-0000C8110000}"/>
    <cellStyle name="s_DCF Matrix_2_Pasta2" xfId="2814" xr:uid="{00000000-0005-0000-0000-0000C9110000}"/>
    <cellStyle name="s_DCF Matrix_Comparativo VP FIN v1_So 2008" xfId="7739" xr:uid="{00000000-0005-0000-0000-0000CA110000}"/>
    <cellStyle name="s_DCF Matrix_Comparativo VP MKT 2008 v1_So 2008" xfId="7740" xr:uid="{00000000-0005-0000-0000-0000CB110000}"/>
    <cellStyle name="s_DCF Matrix_Comparativo VP TEC 2008 v1_So 2008" xfId="7741" xr:uid="{00000000-0005-0000-0000-0000CC110000}"/>
    <cellStyle name="s_DCF Matrix_Comparativo VP TEC 2008_Luiz Sergio" xfId="7742" xr:uid="{00000000-0005-0000-0000-0000CD110000}"/>
    <cellStyle name="s_DCF Matrix_Cópia de Modelo - Fluxo de Caixa Orcamento 09052009_V36_3" xfId="2815" xr:uid="{00000000-0005-0000-0000-0000CE110000}"/>
    <cellStyle name="s_DCF Matrix_Fluxo de Caixa Orcamento FINAL_13052009" xfId="2816" xr:uid="{00000000-0005-0000-0000-0000CF110000}"/>
    <cellStyle name="s_DCF Matrix_FM_dummyV4" xfId="2817" xr:uid="{00000000-0005-0000-0000-0000D0110000}"/>
    <cellStyle name="s_DCF Matrix_Hays Model (3-10-03)" xfId="2818" xr:uid="{00000000-0005-0000-0000-0000D1110000}"/>
    <cellStyle name="s_DCF Matrix_Hays Model (3-10-03)_Comparativo VP FIN v1_So 2008" xfId="7743" xr:uid="{00000000-0005-0000-0000-0000D2110000}"/>
    <cellStyle name="s_DCF Matrix_Hays Model (3-10-03)_Comparativo VP MKT 2008 v1_So 2008" xfId="7744" xr:uid="{00000000-0005-0000-0000-0000D3110000}"/>
    <cellStyle name="s_DCF Matrix_Hays Model (3-10-03)_Comparativo VP TEC 2008 v1_So 2008" xfId="7745" xr:uid="{00000000-0005-0000-0000-0000D4110000}"/>
    <cellStyle name="s_DCF Matrix_Hays Model (3-10-03)_Comparativo VP TEC 2008_Luiz Sergio" xfId="7746" xr:uid="{00000000-0005-0000-0000-0000D5110000}"/>
    <cellStyle name="s_DCF Matrix_Hays Model (3-10-03)_Cópia de Modelo - Fluxo de Caixa Orcamento 09052009_V36_3" xfId="2819" xr:uid="{00000000-0005-0000-0000-0000D6110000}"/>
    <cellStyle name="s_DCF Matrix_Hays Model (3-10-03)_Fluxo de Caixa Orcamento FINAL_13052009" xfId="2820" xr:uid="{00000000-0005-0000-0000-0000D7110000}"/>
    <cellStyle name="s_DCF Matrix_Hays Model (3-10-03)_FM_dummyV4" xfId="2821" xr:uid="{00000000-0005-0000-0000-0000D8110000}"/>
    <cellStyle name="s_DCF Matrix_Hays Model (3-10-03)_lalur" xfId="2822" xr:uid="{00000000-0005-0000-0000-0000D9110000}"/>
    <cellStyle name="s_DCF Matrix_Hays Model (3-10-03)_Leasing_V3" xfId="2823" xr:uid="{00000000-0005-0000-0000-0000DA110000}"/>
    <cellStyle name="s_DCF Matrix_Hays Model (3-10-03)_MODELO PDP III" xfId="2824" xr:uid="{00000000-0005-0000-0000-0000DB110000}"/>
    <cellStyle name="s_DCF Matrix_Hays Model (3-10-03)_ORÇ_2009" xfId="2825" xr:uid="{00000000-0005-0000-0000-0000DC110000}"/>
    <cellStyle name="s_DCF Matrix_Hays Model (3-10-03)_Pasta2" xfId="2826" xr:uid="{00000000-0005-0000-0000-0000DD110000}"/>
    <cellStyle name="s_DCF Matrix_IPO" xfId="2827" xr:uid="{00000000-0005-0000-0000-0000DE110000}"/>
    <cellStyle name="s_DCF Matrix_IPO_Comparativo VP FIN v1_So 2008" xfId="7747" xr:uid="{00000000-0005-0000-0000-0000DF110000}"/>
    <cellStyle name="s_DCF Matrix_IPO_Comparativo VP MKT 2008 v1_So 2008" xfId="7748" xr:uid="{00000000-0005-0000-0000-0000E0110000}"/>
    <cellStyle name="s_DCF Matrix_IPO_Comparativo VP TEC 2008 v1_So 2008" xfId="7749" xr:uid="{00000000-0005-0000-0000-0000E1110000}"/>
    <cellStyle name="s_DCF Matrix_IPO_Comparativo VP TEC 2008_Luiz Sergio" xfId="7750" xr:uid="{00000000-0005-0000-0000-0000E2110000}"/>
    <cellStyle name="s_DCF Matrix_IPO_Cópia de Modelo - Fluxo de Caixa Orcamento 09052009_V36_3" xfId="2828" xr:uid="{00000000-0005-0000-0000-0000E3110000}"/>
    <cellStyle name="s_DCF Matrix_IPO_Fluxo de Caixa Orcamento FINAL_13052009" xfId="2829" xr:uid="{00000000-0005-0000-0000-0000E4110000}"/>
    <cellStyle name="s_DCF Matrix_IPO_FM_dummyV4" xfId="2830" xr:uid="{00000000-0005-0000-0000-0000E5110000}"/>
    <cellStyle name="s_DCF Matrix_IPO_lalur" xfId="2831" xr:uid="{00000000-0005-0000-0000-0000E6110000}"/>
    <cellStyle name="s_DCF Matrix_IPO_Leasing_V3" xfId="2832" xr:uid="{00000000-0005-0000-0000-0000E7110000}"/>
    <cellStyle name="s_DCF Matrix_IPO_MODELO PDP III" xfId="2833" xr:uid="{00000000-0005-0000-0000-0000E8110000}"/>
    <cellStyle name="s_DCF Matrix_IPO_ORÇ_2009" xfId="2834" xr:uid="{00000000-0005-0000-0000-0000E9110000}"/>
    <cellStyle name="s_DCF Matrix_IPO_Pasta2" xfId="2835" xr:uid="{00000000-0005-0000-0000-0000EA110000}"/>
    <cellStyle name="s_DCF Matrix_lalur" xfId="2836" xr:uid="{00000000-0005-0000-0000-0000EB110000}"/>
    <cellStyle name="s_DCF Matrix_LBO_02.07.02v2" xfId="2837" xr:uid="{00000000-0005-0000-0000-0000EC110000}"/>
    <cellStyle name="s_DCF Matrix_LBO_02.07.02v2_Comparativo VP FIN v1_So 2008" xfId="7751" xr:uid="{00000000-0005-0000-0000-0000ED110000}"/>
    <cellStyle name="s_DCF Matrix_LBO_02.07.02v2_Comparativo VP MKT 2008 v1_So 2008" xfId="7752" xr:uid="{00000000-0005-0000-0000-0000EE110000}"/>
    <cellStyle name="s_DCF Matrix_LBO_02.07.02v2_Comparativo VP TEC 2008 v1_So 2008" xfId="7753" xr:uid="{00000000-0005-0000-0000-0000EF110000}"/>
    <cellStyle name="s_DCF Matrix_LBO_02.07.02v2_Comparativo VP TEC 2008_Luiz Sergio" xfId="7754" xr:uid="{00000000-0005-0000-0000-0000F0110000}"/>
    <cellStyle name="s_DCF Matrix_LBO_02.07.02v2_Cópia de Modelo - Fluxo de Caixa Orcamento 09052009_V36_3" xfId="2838" xr:uid="{00000000-0005-0000-0000-0000F1110000}"/>
    <cellStyle name="s_DCF Matrix_LBO_02.07.02v2_Fluxo de Caixa Orcamento FINAL_13052009" xfId="2839" xr:uid="{00000000-0005-0000-0000-0000F2110000}"/>
    <cellStyle name="s_DCF Matrix_LBO_02.07.02v2_FM_dummyV4" xfId="2840" xr:uid="{00000000-0005-0000-0000-0000F3110000}"/>
    <cellStyle name="s_DCF Matrix_LBO_02.07.02v2_lalur" xfId="2841" xr:uid="{00000000-0005-0000-0000-0000F4110000}"/>
    <cellStyle name="s_DCF Matrix_LBO_02.07.02v2_Leasing_V3" xfId="2842" xr:uid="{00000000-0005-0000-0000-0000F5110000}"/>
    <cellStyle name="s_DCF Matrix_LBO_02.07.02v2_MODELO PDP III" xfId="2843" xr:uid="{00000000-0005-0000-0000-0000F6110000}"/>
    <cellStyle name="s_DCF Matrix_LBO_02.07.02v2_ORÇ_2009" xfId="2844" xr:uid="{00000000-0005-0000-0000-0000F7110000}"/>
    <cellStyle name="s_DCF Matrix_LBO_02.07.02v2_Pasta2" xfId="2845" xr:uid="{00000000-0005-0000-0000-0000F8110000}"/>
    <cellStyle name="s_DCF Matrix_Leasing_V3" xfId="2846" xr:uid="{00000000-0005-0000-0000-0000F9110000}"/>
    <cellStyle name="s_DCF Matrix_MiniMerger7" xfId="2847" xr:uid="{00000000-0005-0000-0000-0000FA110000}"/>
    <cellStyle name="s_DCF Matrix_MiniMerger7_Comparativo VP FIN v1_So 2008" xfId="7755" xr:uid="{00000000-0005-0000-0000-0000FB110000}"/>
    <cellStyle name="s_DCF Matrix_MiniMerger7_Comparativo VP MKT 2008 v1_So 2008" xfId="7756" xr:uid="{00000000-0005-0000-0000-0000FC110000}"/>
    <cellStyle name="s_DCF Matrix_MiniMerger7_Comparativo VP TEC 2008 v1_So 2008" xfId="7757" xr:uid="{00000000-0005-0000-0000-0000FD110000}"/>
    <cellStyle name="s_DCF Matrix_MiniMerger7_Comparativo VP TEC 2008_Luiz Sergio" xfId="7758" xr:uid="{00000000-0005-0000-0000-0000FE110000}"/>
    <cellStyle name="s_DCF Matrix_MiniMerger7_Cópia de Modelo - Fluxo de Caixa Orcamento 09052009_V36_3" xfId="2848" xr:uid="{00000000-0005-0000-0000-0000FF110000}"/>
    <cellStyle name="s_DCF Matrix_MiniMerger7_Fluxo de Caixa Orcamento FINAL_13052009" xfId="2849" xr:uid="{00000000-0005-0000-0000-000000120000}"/>
    <cellStyle name="s_DCF Matrix_MiniMerger7_FM_dummyV4" xfId="2850" xr:uid="{00000000-0005-0000-0000-000001120000}"/>
    <cellStyle name="s_DCF Matrix_MiniMerger7_lalur" xfId="2851" xr:uid="{00000000-0005-0000-0000-000002120000}"/>
    <cellStyle name="s_DCF Matrix_MiniMerger7_Leasing_V3" xfId="2852" xr:uid="{00000000-0005-0000-0000-000003120000}"/>
    <cellStyle name="s_DCF Matrix_MiniMerger7_MODELO PDP III" xfId="2853" xr:uid="{00000000-0005-0000-0000-000004120000}"/>
    <cellStyle name="s_DCF Matrix_MiniMerger7_ORÇ_2009" xfId="2854" xr:uid="{00000000-0005-0000-0000-000005120000}"/>
    <cellStyle name="s_DCF Matrix_MiniMerger7_Pasta2" xfId="2855" xr:uid="{00000000-0005-0000-0000-000006120000}"/>
    <cellStyle name="s_DCF Matrix_MJS New Look Merger Model" xfId="2856" xr:uid="{00000000-0005-0000-0000-000007120000}"/>
    <cellStyle name="s_DCF Matrix_MJS New Look Merger Model_Comparativo VP FIN v1_So 2008" xfId="7759" xr:uid="{00000000-0005-0000-0000-000008120000}"/>
    <cellStyle name="s_DCF Matrix_MJS New Look Merger Model_Comparativo VP MKT 2008 v1_So 2008" xfId="7760" xr:uid="{00000000-0005-0000-0000-000009120000}"/>
    <cellStyle name="s_DCF Matrix_MJS New Look Merger Model_Comparativo VP TEC 2008 v1_So 2008" xfId="7761" xr:uid="{00000000-0005-0000-0000-00000A120000}"/>
    <cellStyle name="s_DCF Matrix_MJS New Look Merger Model_Comparativo VP TEC 2008_Luiz Sergio" xfId="7762" xr:uid="{00000000-0005-0000-0000-00000B120000}"/>
    <cellStyle name="s_DCF Matrix_MJS New Look Merger Model_Cópia de Modelo - Fluxo de Caixa Orcamento 09052009_V36_3" xfId="2857" xr:uid="{00000000-0005-0000-0000-00000C120000}"/>
    <cellStyle name="s_DCF Matrix_MJS New Look Merger Model_Fluxo de Caixa Orcamento FINAL_13052009" xfId="2858" xr:uid="{00000000-0005-0000-0000-00000D120000}"/>
    <cellStyle name="s_DCF Matrix_MJS New Look Merger Model_FM_dummyV4" xfId="2859" xr:uid="{00000000-0005-0000-0000-00000E120000}"/>
    <cellStyle name="s_DCF Matrix_MJS New Look Merger Model_lalur" xfId="2860" xr:uid="{00000000-0005-0000-0000-00000F120000}"/>
    <cellStyle name="s_DCF Matrix_MJS New Look Merger Model_Leasing_V3" xfId="2861" xr:uid="{00000000-0005-0000-0000-000010120000}"/>
    <cellStyle name="s_DCF Matrix_MJS New Look Merger Model_MODELO PDP III" xfId="2862" xr:uid="{00000000-0005-0000-0000-000011120000}"/>
    <cellStyle name="s_DCF Matrix_MJS New Look Merger Model_ORÇ_2009" xfId="2863" xr:uid="{00000000-0005-0000-0000-000012120000}"/>
    <cellStyle name="s_DCF Matrix_MJS New Look Merger Model_Pasta2" xfId="2864" xr:uid="{00000000-0005-0000-0000-000013120000}"/>
    <cellStyle name="s_DCF Matrix_MODELO PDP III" xfId="2865" xr:uid="{00000000-0005-0000-0000-000014120000}"/>
    <cellStyle name="s_DCF Matrix_ORÇ_2009" xfId="2866" xr:uid="{00000000-0005-0000-0000-000015120000}"/>
    <cellStyle name="s_DCF Matrix_Pasta2" xfId="2867" xr:uid="{00000000-0005-0000-0000-000016120000}"/>
    <cellStyle name="s_DCF Matrix_REVISE24" xfId="2868" xr:uid="{00000000-0005-0000-0000-000017120000}"/>
    <cellStyle name="s_DCF Matrix_REVISE24_Comparativo VP FIN v1_So 2008" xfId="7763" xr:uid="{00000000-0005-0000-0000-000018120000}"/>
    <cellStyle name="s_DCF Matrix_REVISE24_Comparativo VP MKT 2008 v1_So 2008" xfId="7764" xr:uid="{00000000-0005-0000-0000-000019120000}"/>
    <cellStyle name="s_DCF Matrix_REVISE24_Comparativo VP TEC 2008 v1_So 2008" xfId="7765" xr:uid="{00000000-0005-0000-0000-00001A120000}"/>
    <cellStyle name="s_DCF Matrix_REVISE24_Comparativo VP TEC 2008_Luiz Sergio" xfId="7766" xr:uid="{00000000-0005-0000-0000-00001B120000}"/>
    <cellStyle name="s_DCF Matrix_REVISE24_Cópia de Modelo - Fluxo de Caixa Orcamento 09052009_V36_3" xfId="2869" xr:uid="{00000000-0005-0000-0000-00001C120000}"/>
    <cellStyle name="s_DCF Matrix_REVISE24_Fluxo de Caixa Orcamento FINAL_13052009" xfId="2870" xr:uid="{00000000-0005-0000-0000-00001D120000}"/>
    <cellStyle name="s_DCF Matrix_REVISE24_FM_dummyV4" xfId="2871" xr:uid="{00000000-0005-0000-0000-00001E120000}"/>
    <cellStyle name="s_DCF Matrix_REVISE24_lalur" xfId="2872" xr:uid="{00000000-0005-0000-0000-00001F120000}"/>
    <cellStyle name="s_DCF Matrix_REVISE24_Leasing_V3" xfId="2873" xr:uid="{00000000-0005-0000-0000-000020120000}"/>
    <cellStyle name="s_DCF Matrix_REVISE24_MODELO PDP III" xfId="2874" xr:uid="{00000000-0005-0000-0000-000021120000}"/>
    <cellStyle name="s_DCF Matrix_REVISE24_ORÇ_2009" xfId="2875" xr:uid="{00000000-0005-0000-0000-000022120000}"/>
    <cellStyle name="s_DCF Matrix_REVISE24_Pasta2" xfId="2876" xr:uid="{00000000-0005-0000-0000-000023120000}"/>
    <cellStyle name="s_DCF Matrix_TransCore Model (2-13-03 - Cypress)" xfId="2877" xr:uid="{00000000-0005-0000-0000-000024120000}"/>
    <cellStyle name="s_DCF Matrix_TransCore Model (2-13-03 - Cypress)_Comparativo VP FIN v1_So 2008" xfId="7767" xr:uid="{00000000-0005-0000-0000-000025120000}"/>
    <cellStyle name="s_DCF Matrix_TransCore Model (2-13-03 - Cypress)_Comparativo VP MKT 2008 v1_So 2008" xfId="7768" xr:uid="{00000000-0005-0000-0000-000026120000}"/>
    <cellStyle name="s_DCF Matrix_TransCore Model (2-13-03 - Cypress)_Comparativo VP TEC 2008 v1_So 2008" xfId="7769" xr:uid="{00000000-0005-0000-0000-000027120000}"/>
    <cellStyle name="s_DCF Matrix_TransCore Model (2-13-03 - Cypress)_Comparativo VP TEC 2008_Luiz Sergio" xfId="7770" xr:uid="{00000000-0005-0000-0000-000028120000}"/>
    <cellStyle name="s_DCF Matrix_TransCore Model (2-13-03 - Cypress)_Cópia de Modelo - Fluxo de Caixa Orcamento 09052009_V36_3" xfId="2878" xr:uid="{00000000-0005-0000-0000-000029120000}"/>
    <cellStyle name="s_DCF Matrix_TransCore Model (2-13-03 - Cypress)_Fluxo de Caixa Orcamento FINAL_13052009" xfId="2879" xr:uid="{00000000-0005-0000-0000-00002A120000}"/>
    <cellStyle name="s_DCF Matrix_TransCore Model (2-13-03 - Cypress)_FM_dummyV4" xfId="2880" xr:uid="{00000000-0005-0000-0000-00002B120000}"/>
    <cellStyle name="s_DCF Matrix_TransCore Model (2-13-03 - Cypress)_lalur" xfId="2881" xr:uid="{00000000-0005-0000-0000-00002C120000}"/>
    <cellStyle name="s_DCF Matrix_TransCore Model (2-13-03 - Cypress)_Leasing_V3" xfId="2882" xr:uid="{00000000-0005-0000-0000-00002D120000}"/>
    <cellStyle name="s_DCF Matrix_TransCore Model (2-13-03 - Cypress)_MODELO PDP III" xfId="2883" xr:uid="{00000000-0005-0000-0000-00002E120000}"/>
    <cellStyle name="s_DCF Matrix_TransCore Model (2-13-03 - Cypress)_ORÇ_2009" xfId="2884" xr:uid="{00000000-0005-0000-0000-00002F120000}"/>
    <cellStyle name="s_DCF Matrix_TransCore Model (2-13-03 - Cypress)_Pasta2" xfId="2885" xr:uid="{00000000-0005-0000-0000-000030120000}"/>
    <cellStyle name="s_DCF output" xfId="2886" xr:uid="{00000000-0005-0000-0000-000031120000}"/>
    <cellStyle name="s_DCF_1" xfId="2887" xr:uid="{00000000-0005-0000-0000-000032120000}"/>
    <cellStyle name="s_DCF_1_Comparativo VP FIN v1_So 2008" xfId="7771" xr:uid="{00000000-0005-0000-0000-000033120000}"/>
    <cellStyle name="s_DCF_1_Comparativo VP MKT 2008 v1_So 2008" xfId="7772" xr:uid="{00000000-0005-0000-0000-000034120000}"/>
    <cellStyle name="s_DCF_1_Comparativo VP TEC 2008 v1_So 2008" xfId="7773" xr:uid="{00000000-0005-0000-0000-000035120000}"/>
    <cellStyle name="s_DCF_1_Comparativo VP TEC 2008_Luiz Sergio" xfId="7774" xr:uid="{00000000-0005-0000-0000-000036120000}"/>
    <cellStyle name="s_DCF_1_Cópia de Modelo - Fluxo de Caixa Orcamento 09052009_V36_3" xfId="2888" xr:uid="{00000000-0005-0000-0000-000037120000}"/>
    <cellStyle name="s_DCF_1_Fluxo de Caixa Orcamento FINAL_13052009" xfId="2889" xr:uid="{00000000-0005-0000-0000-000038120000}"/>
    <cellStyle name="s_DCF_1_FM_dummyV4" xfId="2890" xr:uid="{00000000-0005-0000-0000-000039120000}"/>
    <cellStyle name="s_DCF_1_lalur" xfId="2891" xr:uid="{00000000-0005-0000-0000-00003A120000}"/>
    <cellStyle name="s_DCF_1_Leasing_V3" xfId="2892" xr:uid="{00000000-0005-0000-0000-00003B120000}"/>
    <cellStyle name="s_DCF_1_MODELO PDP III" xfId="2893" xr:uid="{00000000-0005-0000-0000-00003C120000}"/>
    <cellStyle name="s_DCF_1_ORÇ_2009" xfId="2894" xr:uid="{00000000-0005-0000-0000-00003D120000}"/>
    <cellStyle name="s_DCF_1_Pasta2" xfId="2895" xr:uid="{00000000-0005-0000-0000-00003E120000}"/>
    <cellStyle name="s_DCF_2" xfId="2896" xr:uid="{00000000-0005-0000-0000-00003F120000}"/>
    <cellStyle name="s_DCF_2_Comparativo VP FIN v1_So 2008" xfId="7775" xr:uid="{00000000-0005-0000-0000-000040120000}"/>
    <cellStyle name="s_DCF_2_Comparativo VP MKT 2008 v1_So 2008" xfId="7776" xr:uid="{00000000-0005-0000-0000-000041120000}"/>
    <cellStyle name="s_DCF_2_Comparativo VP TEC 2008 v1_So 2008" xfId="7777" xr:uid="{00000000-0005-0000-0000-000042120000}"/>
    <cellStyle name="s_DCF_2_Comparativo VP TEC 2008_Luiz Sergio" xfId="7778" xr:uid="{00000000-0005-0000-0000-000043120000}"/>
    <cellStyle name="s_DCF_2_Cópia de Modelo - Fluxo de Caixa Orcamento 09052009_V36_3" xfId="2897" xr:uid="{00000000-0005-0000-0000-000044120000}"/>
    <cellStyle name="s_DCF_2_Fluxo de Caixa Orcamento FINAL_13052009" xfId="2898" xr:uid="{00000000-0005-0000-0000-000045120000}"/>
    <cellStyle name="s_DCF_2_FM_dummyV4" xfId="2899" xr:uid="{00000000-0005-0000-0000-000046120000}"/>
    <cellStyle name="s_DCF_2_lalur" xfId="2900" xr:uid="{00000000-0005-0000-0000-000047120000}"/>
    <cellStyle name="s_DCF_2_Leasing_V3" xfId="2901" xr:uid="{00000000-0005-0000-0000-000048120000}"/>
    <cellStyle name="s_DCF_2_MODELO PDP III" xfId="2902" xr:uid="{00000000-0005-0000-0000-000049120000}"/>
    <cellStyle name="s_DCF_2_ORÇ_2009" xfId="2903" xr:uid="{00000000-0005-0000-0000-00004A120000}"/>
    <cellStyle name="s_DCF_2_Pasta2" xfId="2904" xr:uid="{00000000-0005-0000-0000-00004B120000}"/>
    <cellStyle name="s_DCF_Comparativo VP FIN v1_So 2008" xfId="7779" xr:uid="{00000000-0005-0000-0000-00004C120000}"/>
    <cellStyle name="s_DCF_Comparativo VP MKT 2008 v1_So 2008" xfId="7780" xr:uid="{00000000-0005-0000-0000-00004D120000}"/>
    <cellStyle name="s_DCF_Comparativo VP TEC 2008 v1_So 2008" xfId="7781" xr:uid="{00000000-0005-0000-0000-00004E120000}"/>
    <cellStyle name="s_DCF_Comparativo VP TEC 2008_Luiz Sergio" xfId="7782" xr:uid="{00000000-0005-0000-0000-00004F120000}"/>
    <cellStyle name="s_DCF_Cópia de Modelo - Fluxo de Caixa Orcamento 09052009_V36_3" xfId="2905" xr:uid="{00000000-0005-0000-0000-000050120000}"/>
    <cellStyle name="s_DCF_Fluxo de Caixa Orcamento FINAL_13052009" xfId="2906" xr:uid="{00000000-0005-0000-0000-000051120000}"/>
    <cellStyle name="s_DCF_FM_dummyV4" xfId="2907" xr:uid="{00000000-0005-0000-0000-000052120000}"/>
    <cellStyle name="s_DCF_lalur" xfId="2908" xr:uid="{00000000-0005-0000-0000-000053120000}"/>
    <cellStyle name="s_DCF_Leasing_V3" xfId="2909" xr:uid="{00000000-0005-0000-0000-000054120000}"/>
    <cellStyle name="s_DCF_MODELO PDP III" xfId="2910" xr:uid="{00000000-0005-0000-0000-000055120000}"/>
    <cellStyle name="s_DCF_ORÇ_2009" xfId="2911" xr:uid="{00000000-0005-0000-0000-000056120000}"/>
    <cellStyle name="s_DCF_Pasta2" xfId="2912" xr:uid="{00000000-0005-0000-0000-000057120000}"/>
    <cellStyle name="s_DCFLBO Code" xfId="2913" xr:uid="{00000000-0005-0000-0000-000058120000}"/>
    <cellStyle name="s_DCFLBO Code_1" xfId="2914" xr:uid="{00000000-0005-0000-0000-000059120000}"/>
    <cellStyle name="s_DCFLBO Code_1_Base Apresentação" xfId="7783" xr:uid="{00000000-0005-0000-0000-00005A120000}"/>
    <cellStyle name="s_DCFLBO Code_1_Base Apresentação_Base ITR Set-10 - Ajustes Resmat" xfId="7784" xr:uid="{00000000-0005-0000-0000-00005B120000}"/>
    <cellStyle name="s_DCFLBO Code_1_Comparativo VP FIN v1_So 2008" xfId="7785" xr:uid="{00000000-0005-0000-0000-00005C120000}"/>
    <cellStyle name="s_DCFLBO Code_1_Comparativo VP MKT 2008 v1_So 2008" xfId="7786" xr:uid="{00000000-0005-0000-0000-00005D120000}"/>
    <cellStyle name="s_DCFLBO Code_1_Comparativo VP TEC 2008 v1_So 2008" xfId="7787" xr:uid="{00000000-0005-0000-0000-00005E120000}"/>
    <cellStyle name="s_DCFLBO Code_1_Comparativo VP TEC 2008_Luiz Sergio" xfId="7788" xr:uid="{00000000-0005-0000-0000-00005F120000}"/>
    <cellStyle name="s_DCFLBO Code_1_Controle - Dívidas_Orcamento" xfId="7789" xr:uid="{00000000-0005-0000-0000-000060120000}"/>
    <cellStyle name="s_DCFLBO Code_1_Cópia de Modelo - Fluxo de Caixa Orcamento 09052009_V36_3" xfId="2915" xr:uid="{00000000-0005-0000-0000-000061120000}"/>
    <cellStyle name="s_DCFLBO Code_1_Daily Treasury Report- Fevereiro" xfId="2916" xr:uid="{00000000-0005-0000-0000-000062120000}"/>
    <cellStyle name="s_DCFLBO Code_1_Daily Treasury Report- Fevereiro_BNDES - Calculo novo" xfId="7790" xr:uid="{00000000-0005-0000-0000-000063120000}"/>
    <cellStyle name="s_DCFLBO Code_1_Daily Treasury Report- Fevereiro_BNDES - NOVO" xfId="7791" xr:uid="{00000000-0005-0000-0000-000064120000}"/>
    <cellStyle name="s_DCFLBO Code_1_Daily Treasury Report- Fevereiro_Controle Dívida LP" xfId="7792" xr:uid="{00000000-0005-0000-0000-000065120000}"/>
    <cellStyle name="s_DCFLBO Code_1_Daily Treasury Report- Fevereiro_Controle Dívida LP - NOVO" xfId="7793" xr:uid="{00000000-0005-0000-0000-000066120000}"/>
    <cellStyle name="s_DCFLBO Code_1_Daily Treasury Report- Fevereiro_Controle Empréstimos" xfId="7794" xr:uid="{00000000-0005-0000-0000-000067120000}"/>
    <cellStyle name="s_DCFLBO Code_1_Daily Treasury Report- Fevereiro_Emprest CSFB OK" xfId="7795" xr:uid="{00000000-0005-0000-0000-000068120000}"/>
    <cellStyle name="s_DCFLBO Code_1_Daily Treasury Report- Fevereiro_Novo Financiamento BNDES" xfId="7796" xr:uid="{00000000-0005-0000-0000-000069120000}"/>
    <cellStyle name="s_DCFLBO Code_1_Daily Treasury Report- Fevereiro_Suporte DFs - V2.0" xfId="7797" xr:uid="{00000000-0005-0000-0000-00006A120000}"/>
    <cellStyle name="s_DCFLBO Code_1_Daily Treasury Report- Fevereiro_teste" xfId="7798" xr:uid="{00000000-0005-0000-0000-00006B120000}"/>
    <cellStyle name="s_DCFLBO Code_1_Fluxo de Caixa Orcamento FINAL_13052009" xfId="2917" xr:uid="{00000000-0005-0000-0000-00006C120000}"/>
    <cellStyle name="s_DCFLBO Code_1_FM_dummyV4" xfId="2918" xr:uid="{00000000-0005-0000-0000-00006D120000}"/>
    <cellStyle name="s_DCFLBO Code_1_lalur" xfId="2919" xr:uid="{00000000-0005-0000-0000-00006E120000}"/>
    <cellStyle name="s_DCFLBO Code_1_Leasing_V3" xfId="2920" xr:uid="{00000000-0005-0000-0000-00006F120000}"/>
    <cellStyle name="s_DCFLBO Code_1_Limites x Garantias" xfId="2921" xr:uid="{00000000-0005-0000-0000-000070120000}"/>
    <cellStyle name="s_DCFLBO Code_1_Limites x Garantias_Cópia de Modelo - Fluxo de Caixa Orcamento 09052009_V36_3" xfId="2922" xr:uid="{00000000-0005-0000-0000-000071120000}"/>
    <cellStyle name="s_DCFLBO Code_1_Limites x Garantias_Fluxo de Caixa Orcamento FINAL_13052009" xfId="2923" xr:uid="{00000000-0005-0000-0000-000072120000}"/>
    <cellStyle name="s_DCFLBO Code_1_Limites x Garantias_Liquidez" xfId="2924" xr:uid="{00000000-0005-0000-0000-000073120000}"/>
    <cellStyle name="s_DCFLBO Code_1_Limites x Garantias_Liquidez_Cópia de Modelo - Fluxo de Caixa Orcamento 09052009_V36_3" xfId="2925" xr:uid="{00000000-0005-0000-0000-000074120000}"/>
    <cellStyle name="s_DCFLBO Code_1_Limites x Garantias_Liquidez_Fluxo de Caixa Orcamento FINAL_13052009" xfId="2926" xr:uid="{00000000-0005-0000-0000-000075120000}"/>
    <cellStyle name="s_DCFLBO Code_1_Limites x Garantias_Liquidez_Pasta2" xfId="2927" xr:uid="{00000000-0005-0000-0000-000076120000}"/>
    <cellStyle name="s_DCFLBO Code_1_Limites x Garantias_Pasta2" xfId="2928" xr:uid="{00000000-0005-0000-0000-000077120000}"/>
    <cellStyle name="s_DCFLBO Code_1_Limites x Garantias_Statement Sky - Finance" xfId="2929" xr:uid="{00000000-0005-0000-0000-000078120000}"/>
    <cellStyle name="s_DCFLBO Code_1_MODELO PDP III" xfId="2930" xr:uid="{00000000-0005-0000-0000-000079120000}"/>
    <cellStyle name="s_DCFLBO Code_1_ORÇ_2009" xfId="2931" xr:uid="{00000000-0005-0000-0000-00007A120000}"/>
    <cellStyle name="s_DCFLBO Code_1_Pasta2" xfId="2932" xr:uid="{00000000-0005-0000-0000-00007B120000}"/>
    <cellStyle name="s_DCFLBO Code_1_Q2 pipeline" xfId="2933" xr:uid="{00000000-0005-0000-0000-00007C120000}"/>
    <cellStyle name="s_DCFLBO Code_1_Q2 pipeline 2" xfId="7799" xr:uid="{00000000-0005-0000-0000-00007D120000}"/>
    <cellStyle name="s_DCFLBO Code_1_Q2 pipeline_Cópia de Modelo - Fluxo de Caixa Orcamento 09052009_V36_3" xfId="2934" xr:uid="{00000000-0005-0000-0000-00007E120000}"/>
    <cellStyle name="s_DCFLBO Code_1_Q2 pipeline_Cópia de Modelo - Fluxo de Caixa Orcamento 09052009_V36_3 2" xfId="7800" xr:uid="{00000000-0005-0000-0000-00007F120000}"/>
    <cellStyle name="s_DCFLBO Code_1_Q2 pipeline_Fluxo de Caixa Orcamento FINAL_13052009" xfId="2935" xr:uid="{00000000-0005-0000-0000-000080120000}"/>
    <cellStyle name="s_DCFLBO Code_1_Q2 pipeline_Fluxo de Caixa Orcamento FINAL_13052009 2" xfId="7801" xr:uid="{00000000-0005-0000-0000-000081120000}"/>
    <cellStyle name="s_DCFLBO Code_1_Q2 pipeline_FM_dummyV4" xfId="2936" xr:uid="{00000000-0005-0000-0000-000082120000}"/>
    <cellStyle name="s_DCFLBO Code_1_Q2 pipeline_lalur" xfId="2937" xr:uid="{00000000-0005-0000-0000-000083120000}"/>
    <cellStyle name="s_DCFLBO Code_1_Q2 pipeline_Leasing_V3" xfId="2938" xr:uid="{00000000-0005-0000-0000-000084120000}"/>
    <cellStyle name="s_DCFLBO Code_1_Q2 pipeline_MODELO PDP III" xfId="2939" xr:uid="{00000000-0005-0000-0000-000085120000}"/>
    <cellStyle name="s_DCFLBO Code_1_Q2 pipeline_ORÇ_2009" xfId="2940" xr:uid="{00000000-0005-0000-0000-000086120000}"/>
    <cellStyle name="s_DCFLBO Code_1_Q2 pipeline_ORÇ_2009 2" xfId="7802" xr:uid="{00000000-0005-0000-0000-000087120000}"/>
    <cellStyle name="s_DCFLBO Code_1_Q2 pipeline_Pasta2" xfId="2941" xr:uid="{00000000-0005-0000-0000-000088120000}"/>
    <cellStyle name="s_DCFLBO Code_1_Q2 pipeline_Pasta2 2" xfId="7803" xr:uid="{00000000-0005-0000-0000-000089120000}"/>
    <cellStyle name="s_DCFLBO Code_1_Resultados mensais - Arquivo base maio 2010" xfId="7804" xr:uid="{00000000-0005-0000-0000-00008A120000}"/>
    <cellStyle name="s_DCFLBO Code_1_Resultados mensais - Arquivo base maio 2010_Base ITR Set-10 - Ajustes Resmat" xfId="7805" xr:uid="{00000000-0005-0000-0000-00008B120000}"/>
    <cellStyle name="s_DCFLBO Code_1_Statement Sky - Finance" xfId="2942" xr:uid="{00000000-0005-0000-0000-00008C120000}"/>
    <cellStyle name="s_DCFLBO Code_Base Apresentação" xfId="7806" xr:uid="{00000000-0005-0000-0000-00008D120000}"/>
    <cellStyle name="s_DCFLBO Code_Base Apresentação_Base ITR Set-10 - Ajustes Resmat" xfId="7807" xr:uid="{00000000-0005-0000-0000-00008E120000}"/>
    <cellStyle name="s_DCFLBO Code_Celtic DCF" xfId="2943" xr:uid="{00000000-0005-0000-0000-00008F120000}"/>
    <cellStyle name="s_DCFLBO Code_Celtic DCF Inputs" xfId="2944" xr:uid="{00000000-0005-0000-0000-000090120000}"/>
    <cellStyle name="s_DCFLBO Code_Celtic DCF Inputs_Comparativo VP FIN v1_So 2008" xfId="7808" xr:uid="{00000000-0005-0000-0000-000091120000}"/>
    <cellStyle name="s_DCFLBO Code_Celtic DCF Inputs_Comparativo VP MKT 2008 v1_So 2008" xfId="7809" xr:uid="{00000000-0005-0000-0000-000092120000}"/>
    <cellStyle name="s_DCFLBO Code_Celtic DCF Inputs_Comparativo VP TEC 2008 v1_So 2008" xfId="7810" xr:uid="{00000000-0005-0000-0000-000093120000}"/>
    <cellStyle name="s_DCFLBO Code_Celtic DCF Inputs_Comparativo VP TEC 2008_Luiz Sergio" xfId="7811" xr:uid="{00000000-0005-0000-0000-000094120000}"/>
    <cellStyle name="s_DCFLBO Code_Celtic DCF Inputs_Cópia de Modelo - Fluxo de Caixa Orcamento 09052009_V36_3" xfId="2945" xr:uid="{00000000-0005-0000-0000-000095120000}"/>
    <cellStyle name="s_DCFLBO Code_Celtic DCF Inputs_Fluxo de Caixa Orcamento FINAL_13052009" xfId="2946" xr:uid="{00000000-0005-0000-0000-000096120000}"/>
    <cellStyle name="s_DCFLBO Code_Celtic DCF Inputs_FM_dummyV4" xfId="2947" xr:uid="{00000000-0005-0000-0000-000097120000}"/>
    <cellStyle name="s_DCFLBO Code_Celtic DCF Inputs_lalur" xfId="2948" xr:uid="{00000000-0005-0000-0000-000098120000}"/>
    <cellStyle name="s_DCFLBO Code_Celtic DCF Inputs_Leasing_V3" xfId="2949" xr:uid="{00000000-0005-0000-0000-000099120000}"/>
    <cellStyle name="s_DCFLBO Code_Celtic DCF Inputs_MODELO PDP III" xfId="2950" xr:uid="{00000000-0005-0000-0000-00009A120000}"/>
    <cellStyle name="s_DCFLBO Code_Celtic DCF Inputs_ORÇ_2009" xfId="2951" xr:uid="{00000000-0005-0000-0000-00009B120000}"/>
    <cellStyle name="s_DCFLBO Code_Celtic DCF Inputs_Pasta2" xfId="2952" xr:uid="{00000000-0005-0000-0000-00009C120000}"/>
    <cellStyle name="s_DCFLBO Code_Celtic DCF_Comparativo VP FIN v1_So 2008" xfId="7812" xr:uid="{00000000-0005-0000-0000-00009D120000}"/>
    <cellStyle name="s_DCFLBO Code_Celtic DCF_Comparativo VP MKT 2008 v1_So 2008" xfId="7813" xr:uid="{00000000-0005-0000-0000-00009E120000}"/>
    <cellStyle name="s_DCFLBO Code_Celtic DCF_Comparativo VP TEC 2008 v1_So 2008" xfId="7814" xr:uid="{00000000-0005-0000-0000-00009F120000}"/>
    <cellStyle name="s_DCFLBO Code_Celtic DCF_Comparativo VP TEC 2008_Luiz Sergio" xfId="7815" xr:uid="{00000000-0005-0000-0000-0000A0120000}"/>
    <cellStyle name="s_DCFLBO Code_Celtic DCF_Cópia de Modelo - Fluxo de Caixa Orcamento 09052009_V36_3" xfId="2953" xr:uid="{00000000-0005-0000-0000-0000A1120000}"/>
    <cellStyle name="s_DCFLBO Code_Celtic DCF_Fluxo de Caixa Orcamento FINAL_13052009" xfId="2954" xr:uid="{00000000-0005-0000-0000-0000A2120000}"/>
    <cellStyle name="s_DCFLBO Code_Celtic DCF_FM_dummyV4" xfId="2955" xr:uid="{00000000-0005-0000-0000-0000A3120000}"/>
    <cellStyle name="s_DCFLBO Code_Celtic DCF_lalur" xfId="2956" xr:uid="{00000000-0005-0000-0000-0000A4120000}"/>
    <cellStyle name="s_DCFLBO Code_Celtic DCF_Leasing_V3" xfId="2957" xr:uid="{00000000-0005-0000-0000-0000A5120000}"/>
    <cellStyle name="s_DCFLBO Code_Celtic DCF_MODELO PDP III" xfId="2958" xr:uid="{00000000-0005-0000-0000-0000A6120000}"/>
    <cellStyle name="s_DCFLBO Code_Celtic DCF_ORÇ_2009" xfId="2959" xr:uid="{00000000-0005-0000-0000-0000A7120000}"/>
    <cellStyle name="s_DCFLBO Code_Celtic DCF_Pasta2" xfId="2960" xr:uid="{00000000-0005-0000-0000-0000A8120000}"/>
    <cellStyle name="s_DCFLBO Code_Comparativo VP FIN v1_So 2008" xfId="7816" xr:uid="{00000000-0005-0000-0000-0000A9120000}"/>
    <cellStyle name="s_DCFLBO Code_Comparativo VP MKT 2008 v1_So 2008" xfId="7817" xr:uid="{00000000-0005-0000-0000-0000AA120000}"/>
    <cellStyle name="s_DCFLBO Code_Comparativo VP TEC 2008 v1_So 2008" xfId="7818" xr:uid="{00000000-0005-0000-0000-0000AB120000}"/>
    <cellStyle name="s_DCFLBO Code_Comparativo VP TEC 2008_Luiz Sergio" xfId="7819" xr:uid="{00000000-0005-0000-0000-0000AC120000}"/>
    <cellStyle name="s_DCFLBO Code_Controle - Dívidas_Orcamento" xfId="7820" xr:uid="{00000000-0005-0000-0000-0000AD120000}"/>
    <cellStyle name="s_DCFLBO Code_Cópia de Modelo - Fluxo de Caixa Orcamento 09052009_V36_3" xfId="2961" xr:uid="{00000000-0005-0000-0000-0000AE120000}"/>
    <cellStyle name="s_DCFLBO Code_Daily Treasury Report- Fevereiro" xfId="2962" xr:uid="{00000000-0005-0000-0000-0000AF120000}"/>
    <cellStyle name="s_DCFLBO Code_Daily Treasury Report- Fevereiro_BNDES - Calculo novo" xfId="7821" xr:uid="{00000000-0005-0000-0000-0000B0120000}"/>
    <cellStyle name="s_DCFLBO Code_Daily Treasury Report- Fevereiro_BNDES - NOVO" xfId="7822" xr:uid="{00000000-0005-0000-0000-0000B1120000}"/>
    <cellStyle name="s_DCFLBO Code_Daily Treasury Report- Fevereiro_Controle Dívida LP" xfId="7823" xr:uid="{00000000-0005-0000-0000-0000B2120000}"/>
    <cellStyle name="s_DCFLBO Code_Daily Treasury Report- Fevereiro_Controle Dívida LP - NOVO" xfId="7824" xr:uid="{00000000-0005-0000-0000-0000B3120000}"/>
    <cellStyle name="s_DCFLBO Code_Daily Treasury Report- Fevereiro_Controle Empréstimos" xfId="7825" xr:uid="{00000000-0005-0000-0000-0000B4120000}"/>
    <cellStyle name="s_DCFLBO Code_Daily Treasury Report- Fevereiro_Emprest CSFB OK" xfId="7826" xr:uid="{00000000-0005-0000-0000-0000B5120000}"/>
    <cellStyle name="s_DCFLBO Code_Daily Treasury Report- Fevereiro_Novo Financiamento BNDES" xfId="7827" xr:uid="{00000000-0005-0000-0000-0000B6120000}"/>
    <cellStyle name="s_DCFLBO Code_Daily Treasury Report- Fevereiro_Suporte DFs - V2.0" xfId="7828" xr:uid="{00000000-0005-0000-0000-0000B7120000}"/>
    <cellStyle name="s_DCFLBO Code_Daily Treasury Report- Fevereiro_teste" xfId="7829" xr:uid="{00000000-0005-0000-0000-0000B8120000}"/>
    <cellStyle name="s_DCFLBO Code_Fluxo de Caixa Orcamento FINAL_13052009" xfId="2963" xr:uid="{00000000-0005-0000-0000-0000B9120000}"/>
    <cellStyle name="s_DCFLBO Code_FM_dummyV4" xfId="2964" xr:uid="{00000000-0005-0000-0000-0000BA120000}"/>
    <cellStyle name="s_DCFLBO Code_lalur" xfId="2965" xr:uid="{00000000-0005-0000-0000-0000BB120000}"/>
    <cellStyle name="s_DCFLBO Code_Leasing_V3" xfId="2966" xr:uid="{00000000-0005-0000-0000-0000BC120000}"/>
    <cellStyle name="s_DCFLBO Code_Limites x Garantias" xfId="2967" xr:uid="{00000000-0005-0000-0000-0000BD120000}"/>
    <cellStyle name="s_DCFLBO Code_Limites x Garantias_Cópia de Modelo - Fluxo de Caixa Orcamento 09052009_V36_3" xfId="2968" xr:uid="{00000000-0005-0000-0000-0000BE120000}"/>
    <cellStyle name="s_DCFLBO Code_Limites x Garantias_Fluxo de Caixa Orcamento FINAL_13052009" xfId="2969" xr:uid="{00000000-0005-0000-0000-0000BF120000}"/>
    <cellStyle name="s_DCFLBO Code_Limites x Garantias_Liquidez" xfId="2970" xr:uid="{00000000-0005-0000-0000-0000C0120000}"/>
    <cellStyle name="s_DCFLBO Code_Limites x Garantias_Liquidez_Cópia de Modelo - Fluxo de Caixa Orcamento 09052009_V36_3" xfId="2971" xr:uid="{00000000-0005-0000-0000-0000C1120000}"/>
    <cellStyle name="s_DCFLBO Code_Limites x Garantias_Liquidez_Fluxo de Caixa Orcamento FINAL_13052009" xfId="2972" xr:uid="{00000000-0005-0000-0000-0000C2120000}"/>
    <cellStyle name="s_DCFLBO Code_Limites x Garantias_Liquidez_Pasta2" xfId="2973" xr:uid="{00000000-0005-0000-0000-0000C3120000}"/>
    <cellStyle name="s_DCFLBO Code_Limites x Garantias_Pasta2" xfId="2974" xr:uid="{00000000-0005-0000-0000-0000C4120000}"/>
    <cellStyle name="s_DCFLBO Code_Limites x Garantias_Statement Sky - Finance" xfId="2975" xr:uid="{00000000-0005-0000-0000-0000C5120000}"/>
    <cellStyle name="s_DCFLBO Code_Model_19" xfId="2976" xr:uid="{00000000-0005-0000-0000-0000C6120000}"/>
    <cellStyle name="s_DCFLBO Code_Model_19_Comparativo VP FIN v1_So 2008" xfId="7830" xr:uid="{00000000-0005-0000-0000-0000C7120000}"/>
    <cellStyle name="s_DCFLBO Code_Model_19_Comparativo VP MKT 2008 v1_So 2008" xfId="7831" xr:uid="{00000000-0005-0000-0000-0000C8120000}"/>
    <cellStyle name="s_DCFLBO Code_Model_19_Comparativo VP TEC 2008 v1_So 2008" xfId="7832" xr:uid="{00000000-0005-0000-0000-0000C9120000}"/>
    <cellStyle name="s_DCFLBO Code_Model_19_Comparativo VP TEC 2008_Luiz Sergio" xfId="7833" xr:uid="{00000000-0005-0000-0000-0000CA120000}"/>
    <cellStyle name="s_DCFLBO Code_Model_19_Cópia de Modelo - Fluxo de Caixa Orcamento 09052009_V36_3" xfId="2977" xr:uid="{00000000-0005-0000-0000-0000CB120000}"/>
    <cellStyle name="s_DCFLBO Code_Model_19_Fluxo de Caixa Orcamento FINAL_13052009" xfId="2978" xr:uid="{00000000-0005-0000-0000-0000CC120000}"/>
    <cellStyle name="s_DCFLBO Code_Model_19_FM_dummyV4" xfId="2979" xr:uid="{00000000-0005-0000-0000-0000CD120000}"/>
    <cellStyle name="s_DCFLBO Code_Model_19_lalur" xfId="2980" xr:uid="{00000000-0005-0000-0000-0000CE120000}"/>
    <cellStyle name="s_DCFLBO Code_Model_19_Leasing_V3" xfId="2981" xr:uid="{00000000-0005-0000-0000-0000CF120000}"/>
    <cellStyle name="s_DCFLBO Code_Model_19_MODELO PDP III" xfId="2982" xr:uid="{00000000-0005-0000-0000-0000D0120000}"/>
    <cellStyle name="s_DCFLBO Code_Model_19_ORÇ_2009" xfId="2983" xr:uid="{00000000-0005-0000-0000-0000D1120000}"/>
    <cellStyle name="s_DCFLBO Code_Model_19_Pasta2" xfId="2984" xr:uid="{00000000-0005-0000-0000-0000D2120000}"/>
    <cellStyle name="s_DCFLBO Code_Model_19_Q2 pipeline" xfId="2985" xr:uid="{00000000-0005-0000-0000-0000D3120000}"/>
    <cellStyle name="s_DCFLBO Code_Model_19_Q2 pipeline 2" xfId="7834" xr:uid="{00000000-0005-0000-0000-0000D4120000}"/>
    <cellStyle name="s_DCFLBO Code_Model_19_Q2 pipeline_Cópia de Modelo - Fluxo de Caixa Orcamento 09052009_V36_3" xfId="2986" xr:uid="{00000000-0005-0000-0000-0000D5120000}"/>
    <cellStyle name="s_DCFLBO Code_Model_19_Q2 pipeline_Cópia de Modelo - Fluxo de Caixa Orcamento 09052009_V36_3 2" xfId="7835" xr:uid="{00000000-0005-0000-0000-0000D6120000}"/>
    <cellStyle name="s_DCFLBO Code_Model_19_Q2 pipeline_Fluxo de Caixa Orcamento FINAL_13052009" xfId="2987" xr:uid="{00000000-0005-0000-0000-0000D7120000}"/>
    <cellStyle name="s_DCFLBO Code_Model_19_Q2 pipeline_Fluxo de Caixa Orcamento FINAL_13052009 2" xfId="7836" xr:uid="{00000000-0005-0000-0000-0000D8120000}"/>
    <cellStyle name="s_DCFLBO Code_Model_19_Q2 pipeline_FM_dummyV4" xfId="2988" xr:uid="{00000000-0005-0000-0000-0000D9120000}"/>
    <cellStyle name="s_DCFLBO Code_Model_19_Q2 pipeline_lalur" xfId="2989" xr:uid="{00000000-0005-0000-0000-0000DA120000}"/>
    <cellStyle name="s_DCFLBO Code_Model_19_Q2 pipeline_Leasing_V3" xfId="2990" xr:uid="{00000000-0005-0000-0000-0000DB120000}"/>
    <cellStyle name="s_DCFLBO Code_Model_19_Q2 pipeline_MODELO PDP III" xfId="2991" xr:uid="{00000000-0005-0000-0000-0000DC120000}"/>
    <cellStyle name="s_DCFLBO Code_Model_19_Q2 pipeline_ORÇ_2009" xfId="2992" xr:uid="{00000000-0005-0000-0000-0000DD120000}"/>
    <cellStyle name="s_DCFLBO Code_Model_19_Q2 pipeline_ORÇ_2009 2" xfId="7837" xr:uid="{00000000-0005-0000-0000-0000DE120000}"/>
    <cellStyle name="s_DCFLBO Code_Model_19_Q2 pipeline_Pasta2" xfId="2993" xr:uid="{00000000-0005-0000-0000-0000DF120000}"/>
    <cellStyle name="s_DCFLBO Code_Model_19_Q2 pipeline_Pasta2 2" xfId="7838" xr:uid="{00000000-0005-0000-0000-0000E0120000}"/>
    <cellStyle name="s_DCFLBO Code_MODELO PDP III" xfId="2994" xr:uid="{00000000-0005-0000-0000-0000E1120000}"/>
    <cellStyle name="s_DCFLBO Code_ORÇ_2009" xfId="2995" xr:uid="{00000000-0005-0000-0000-0000E2120000}"/>
    <cellStyle name="s_DCFLBO Code_Pasta2" xfId="2996" xr:uid="{00000000-0005-0000-0000-0000E3120000}"/>
    <cellStyle name="s_DCFLBO Code_Q2 pipeline" xfId="2997" xr:uid="{00000000-0005-0000-0000-0000E4120000}"/>
    <cellStyle name="s_DCFLBO Code_Q2 pipeline 2" xfId="7839" xr:uid="{00000000-0005-0000-0000-0000E5120000}"/>
    <cellStyle name="s_DCFLBO Code_Q2 pipeline_Cópia de Modelo - Fluxo de Caixa Orcamento 09052009_V36_3" xfId="2998" xr:uid="{00000000-0005-0000-0000-0000E6120000}"/>
    <cellStyle name="s_DCFLBO Code_Q2 pipeline_Cópia de Modelo - Fluxo de Caixa Orcamento 09052009_V36_3 2" xfId="7840" xr:uid="{00000000-0005-0000-0000-0000E7120000}"/>
    <cellStyle name="s_DCFLBO Code_Q2 pipeline_Fluxo de Caixa Orcamento FINAL_13052009" xfId="2999" xr:uid="{00000000-0005-0000-0000-0000E8120000}"/>
    <cellStyle name="s_DCFLBO Code_Q2 pipeline_Fluxo de Caixa Orcamento FINAL_13052009 2" xfId="7841" xr:uid="{00000000-0005-0000-0000-0000E9120000}"/>
    <cellStyle name="s_DCFLBO Code_Q2 pipeline_FM_dummyV4" xfId="3000" xr:uid="{00000000-0005-0000-0000-0000EA120000}"/>
    <cellStyle name="s_DCFLBO Code_Q2 pipeline_lalur" xfId="3001" xr:uid="{00000000-0005-0000-0000-0000EB120000}"/>
    <cellStyle name="s_DCFLBO Code_Q2 pipeline_Leasing_V3" xfId="3002" xr:uid="{00000000-0005-0000-0000-0000EC120000}"/>
    <cellStyle name="s_DCFLBO Code_Q2 pipeline_MODELO PDP III" xfId="3003" xr:uid="{00000000-0005-0000-0000-0000ED120000}"/>
    <cellStyle name="s_DCFLBO Code_Q2 pipeline_ORÇ_2009" xfId="3004" xr:uid="{00000000-0005-0000-0000-0000EE120000}"/>
    <cellStyle name="s_DCFLBO Code_Q2 pipeline_ORÇ_2009 2" xfId="7842" xr:uid="{00000000-0005-0000-0000-0000EF120000}"/>
    <cellStyle name="s_DCFLBO Code_Q2 pipeline_Pasta2" xfId="3005" xr:uid="{00000000-0005-0000-0000-0000F0120000}"/>
    <cellStyle name="s_DCFLBO Code_Q2 pipeline_Pasta2 2" xfId="7843" xr:uid="{00000000-0005-0000-0000-0000F1120000}"/>
    <cellStyle name="s_DCFLBO Code_Resultados mensais - Arquivo base maio 2010" xfId="7844" xr:uid="{00000000-0005-0000-0000-0000F2120000}"/>
    <cellStyle name="s_DCFLBO Code_Resultados mensais - Arquivo base maio 2010_Base ITR Set-10 - Ajustes Resmat" xfId="7845" xr:uid="{00000000-0005-0000-0000-0000F3120000}"/>
    <cellStyle name="s_DCFLBO Code_Rolex-Timex" xfId="3006" xr:uid="{00000000-0005-0000-0000-0000F4120000}"/>
    <cellStyle name="s_DCFLBO Code_Rolex-Timex_Comparativo VP FIN v1_So 2008" xfId="7846" xr:uid="{00000000-0005-0000-0000-0000F5120000}"/>
    <cellStyle name="s_DCFLBO Code_Rolex-Timex_Comparativo VP MKT 2008 v1_So 2008" xfId="7847" xr:uid="{00000000-0005-0000-0000-0000F6120000}"/>
    <cellStyle name="s_DCFLBO Code_Rolex-Timex_Comparativo VP TEC 2008 v1_So 2008" xfId="7848" xr:uid="{00000000-0005-0000-0000-0000F7120000}"/>
    <cellStyle name="s_DCFLBO Code_Rolex-Timex_Comparativo VP TEC 2008_Luiz Sergio" xfId="7849" xr:uid="{00000000-0005-0000-0000-0000F8120000}"/>
    <cellStyle name="s_DCFLBO Code_Rolex-Timex_Cópia de Modelo - Fluxo de Caixa Orcamento 09052009_V36_3" xfId="3007" xr:uid="{00000000-0005-0000-0000-0000F9120000}"/>
    <cellStyle name="s_DCFLBO Code_Rolex-Timex_Fluxo de Caixa Orcamento FINAL_13052009" xfId="3008" xr:uid="{00000000-0005-0000-0000-0000FA120000}"/>
    <cellStyle name="s_DCFLBO Code_Rolex-Timex_FM_dummyV4" xfId="3009" xr:uid="{00000000-0005-0000-0000-0000FB120000}"/>
    <cellStyle name="s_DCFLBO Code_Rolex-Timex_lalur" xfId="3010" xr:uid="{00000000-0005-0000-0000-0000FC120000}"/>
    <cellStyle name="s_DCFLBO Code_Rolex-Timex_Leasing_V3" xfId="3011" xr:uid="{00000000-0005-0000-0000-0000FD120000}"/>
    <cellStyle name="s_DCFLBO Code_Rolex-Timex_MODELO PDP III" xfId="3012" xr:uid="{00000000-0005-0000-0000-0000FE120000}"/>
    <cellStyle name="s_DCFLBO Code_Rolex-Timex_ORÇ_2009" xfId="3013" xr:uid="{00000000-0005-0000-0000-0000FF120000}"/>
    <cellStyle name="s_DCFLBO Code_Rolex-Timex_Pasta2" xfId="3014" xr:uid="{00000000-0005-0000-0000-000000130000}"/>
    <cellStyle name="s_DCFLBO Code_Statement Sky - Finance" xfId="3015" xr:uid="{00000000-0005-0000-0000-000001130000}"/>
    <cellStyle name="s_DCFLBO Code_Valuation Summary" xfId="3016" xr:uid="{00000000-0005-0000-0000-000002130000}"/>
    <cellStyle name="s_DCFLBO Code_Valuation Summary_Comparativo VP FIN v1_So 2008" xfId="7850" xr:uid="{00000000-0005-0000-0000-000003130000}"/>
    <cellStyle name="s_DCFLBO Code_Valuation Summary_Comparativo VP MKT 2008 v1_So 2008" xfId="7851" xr:uid="{00000000-0005-0000-0000-000004130000}"/>
    <cellStyle name="s_DCFLBO Code_Valuation Summary_Comparativo VP TEC 2008 v1_So 2008" xfId="7852" xr:uid="{00000000-0005-0000-0000-000005130000}"/>
    <cellStyle name="s_DCFLBO Code_Valuation Summary_Comparativo VP TEC 2008_Luiz Sergio" xfId="7853" xr:uid="{00000000-0005-0000-0000-000006130000}"/>
    <cellStyle name="s_DCFLBO Code_Valuation Summary_Cópia de Modelo - Fluxo de Caixa Orcamento 09052009_V36_3" xfId="3017" xr:uid="{00000000-0005-0000-0000-000007130000}"/>
    <cellStyle name="s_DCFLBO Code_Valuation Summary_Fluxo de Caixa Orcamento FINAL_13052009" xfId="3018" xr:uid="{00000000-0005-0000-0000-000008130000}"/>
    <cellStyle name="s_DCFLBO Code_Valuation Summary_FM_dummyV4" xfId="3019" xr:uid="{00000000-0005-0000-0000-000009130000}"/>
    <cellStyle name="s_DCFLBO Code_Valuation Summary_lalur" xfId="3020" xr:uid="{00000000-0005-0000-0000-00000A130000}"/>
    <cellStyle name="s_DCFLBO Code_Valuation Summary_Leasing_V3" xfId="3021" xr:uid="{00000000-0005-0000-0000-00000B130000}"/>
    <cellStyle name="s_DCFLBO Code_Valuation Summary_MODELO PDP III" xfId="3022" xr:uid="{00000000-0005-0000-0000-00000C130000}"/>
    <cellStyle name="s_DCFLBO Code_Valuation Summary_ORÇ_2009" xfId="3023" xr:uid="{00000000-0005-0000-0000-00000D130000}"/>
    <cellStyle name="s_DCFLBO Code_Valuation Summary_Pasta2" xfId="3024" xr:uid="{00000000-0005-0000-0000-00000E130000}"/>
    <cellStyle name="s_Deal" xfId="3025" xr:uid="{00000000-0005-0000-0000-00000F130000}"/>
    <cellStyle name="s_Deal_1" xfId="3026" xr:uid="{00000000-0005-0000-0000-000010130000}"/>
    <cellStyle name="s_Deal_1_Comparativo VP FIN v1_So 2008" xfId="7854" xr:uid="{00000000-0005-0000-0000-000011130000}"/>
    <cellStyle name="s_Deal_1_Comparativo VP MKT 2008 v1_So 2008" xfId="7855" xr:uid="{00000000-0005-0000-0000-000012130000}"/>
    <cellStyle name="s_Deal_1_Comparativo VP TEC 2008 v1_So 2008" xfId="7856" xr:uid="{00000000-0005-0000-0000-000013130000}"/>
    <cellStyle name="s_Deal_1_Comparativo VP TEC 2008_Luiz Sergio" xfId="7857" xr:uid="{00000000-0005-0000-0000-000014130000}"/>
    <cellStyle name="s_Deal_1_Cópia de Modelo - Fluxo de Caixa Orcamento 09052009_V36_3" xfId="3027" xr:uid="{00000000-0005-0000-0000-000015130000}"/>
    <cellStyle name="s_Deal_1_Fluxo de Caixa Orcamento FINAL_13052009" xfId="3028" xr:uid="{00000000-0005-0000-0000-000016130000}"/>
    <cellStyle name="s_Deal_1_FM_dummyV4" xfId="3029" xr:uid="{00000000-0005-0000-0000-000017130000}"/>
    <cellStyle name="s_Deal_1_lalur" xfId="3030" xr:uid="{00000000-0005-0000-0000-000018130000}"/>
    <cellStyle name="s_Deal_1_Leasing_V3" xfId="3031" xr:uid="{00000000-0005-0000-0000-000019130000}"/>
    <cellStyle name="s_Deal_1_MODELO PDP III" xfId="3032" xr:uid="{00000000-0005-0000-0000-00001A130000}"/>
    <cellStyle name="s_Deal_1_ORÇ_2009" xfId="3033" xr:uid="{00000000-0005-0000-0000-00001B130000}"/>
    <cellStyle name="s_Deal_1_Pasta2" xfId="3034" xr:uid="{00000000-0005-0000-0000-00001C130000}"/>
    <cellStyle name="s_Deal_2" xfId="3035" xr:uid="{00000000-0005-0000-0000-00001D130000}"/>
    <cellStyle name="s_Deal_2_Comparativo VP FIN v1_So 2008" xfId="7858" xr:uid="{00000000-0005-0000-0000-00001E130000}"/>
    <cellStyle name="s_Deal_2_Comparativo VP MKT 2008 v1_So 2008" xfId="7859" xr:uid="{00000000-0005-0000-0000-00001F130000}"/>
    <cellStyle name="s_Deal_2_Comparativo VP TEC 2008 v1_So 2008" xfId="7860" xr:uid="{00000000-0005-0000-0000-000020130000}"/>
    <cellStyle name="s_Deal_2_Comparativo VP TEC 2008_Luiz Sergio" xfId="7861" xr:uid="{00000000-0005-0000-0000-000021130000}"/>
    <cellStyle name="s_Deal_2_Cópia de Modelo - Fluxo de Caixa Orcamento 09052009_V36_3" xfId="3036" xr:uid="{00000000-0005-0000-0000-000022130000}"/>
    <cellStyle name="s_Deal_2_Fluxo de Caixa Orcamento FINAL_13052009" xfId="3037" xr:uid="{00000000-0005-0000-0000-000023130000}"/>
    <cellStyle name="s_Deal_2_FM_dummyV4" xfId="3038" xr:uid="{00000000-0005-0000-0000-000024130000}"/>
    <cellStyle name="s_Deal_2_lalur" xfId="3039" xr:uid="{00000000-0005-0000-0000-000025130000}"/>
    <cellStyle name="s_Deal_2_Leasing_V3" xfId="3040" xr:uid="{00000000-0005-0000-0000-000026130000}"/>
    <cellStyle name="s_Deal_2_MODELO PDP III" xfId="3041" xr:uid="{00000000-0005-0000-0000-000027130000}"/>
    <cellStyle name="s_Deal_2_ORÇ_2009" xfId="3042" xr:uid="{00000000-0005-0000-0000-000028130000}"/>
    <cellStyle name="s_Deal_2_Pasta2" xfId="3043" xr:uid="{00000000-0005-0000-0000-000029130000}"/>
    <cellStyle name="s_Deal_Comparativo VP FIN v1_So 2008" xfId="7862" xr:uid="{00000000-0005-0000-0000-00002A130000}"/>
    <cellStyle name="s_Deal_Comparativo VP MKT 2008 v1_So 2008" xfId="7863" xr:uid="{00000000-0005-0000-0000-00002B130000}"/>
    <cellStyle name="s_Deal_Comparativo VP TEC 2008 v1_So 2008" xfId="7864" xr:uid="{00000000-0005-0000-0000-00002C130000}"/>
    <cellStyle name="s_Deal_Comparativo VP TEC 2008_Luiz Sergio" xfId="7865" xr:uid="{00000000-0005-0000-0000-00002D130000}"/>
    <cellStyle name="s_Deal_Cópia de Modelo - Fluxo de Caixa Orcamento 09052009_V36_3" xfId="3044" xr:uid="{00000000-0005-0000-0000-00002E130000}"/>
    <cellStyle name="s_Deal_Fluxo de Caixa Orcamento FINAL_13052009" xfId="3045" xr:uid="{00000000-0005-0000-0000-00002F130000}"/>
    <cellStyle name="s_Deal_FM_dummyV4" xfId="3046" xr:uid="{00000000-0005-0000-0000-000030130000}"/>
    <cellStyle name="s_Deal_lalur" xfId="3047" xr:uid="{00000000-0005-0000-0000-000031130000}"/>
    <cellStyle name="s_Deal_Leasing_V3" xfId="3048" xr:uid="{00000000-0005-0000-0000-000032130000}"/>
    <cellStyle name="s_Deal_MODELO PDP III" xfId="3049" xr:uid="{00000000-0005-0000-0000-000033130000}"/>
    <cellStyle name="s_Deal_ORÇ_2009" xfId="3050" xr:uid="{00000000-0005-0000-0000-000034130000}"/>
    <cellStyle name="s_Deal_Pasta2" xfId="3051" xr:uid="{00000000-0005-0000-0000-000035130000}"/>
    <cellStyle name="s_Dental (2)" xfId="3052" xr:uid="{00000000-0005-0000-0000-000036130000}"/>
    <cellStyle name="s_Dental (2)_1" xfId="3053" xr:uid="{00000000-0005-0000-0000-000037130000}"/>
    <cellStyle name="s_Dental (2)_1_Comparativo VP FIN v1_So 2008" xfId="7866" xr:uid="{00000000-0005-0000-0000-000038130000}"/>
    <cellStyle name="s_Dental (2)_1_Comparativo VP MKT 2008 v1_So 2008" xfId="7867" xr:uid="{00000000-0005-0000-0000-000039130000}"/>
    <cellStyle name="s_Dental (2)_1_Comparativo VP TEC 2008 v1_So 2008" xfId="7868" xr:uid="{00000000-0005-0000-0000-00003A130000}"/>
    <cellStyle name="s_Dental (2)_1_Comparativo VP TEC 2008_Luiz Sergio" xfId="7869" xr:uid="{00000000-0005-0000-0000-00003B130000}"/>
    <cellStyle name="s_Dental (2)_1_Cópia de Modelo - Fluxo de Caixa Orcamento 09052009_V36_3" xfId="3054" xr:uid="{00000000-0005-0000-0000-00003C130000}"/>
    <cellStyle name="s_Dental (2)_1_Fluxo de Caixa Orcamento FINAL_13052009" xfId="3055" xr:uid="{00000000-0005-0000-0000-00003D130000}"/>
    <cellStyle name="s_Dental (2)_1_FM_dummyV4" xfId="3056" xr:uid="{00000000-0005-0000-0000-00003E130000}"/>
    <cellStyle name="s_Dental (2)_1_lalur" xfId="3057" xr:uid="{00000000-0005-0000-0000-00003F130000}"/>
    <cellStyle name="s_Dental (2)_1_Leasing_V3" xfId="3058" xr:uid="{00000000-0005-0000-0000-000040130000}"/>
    <cellStyle name="s_Dental (2)_1_MODELO PDP III" xfId="3059" xr:uid="{00000000-0005-0000-0000-000041130000}"/>
    <cellStyle name="s_Dental (2)_1_ORÇ_2009" xfId="3060" xr:uid="{00000000-0005-0000-0000-000042130000}"/>
    <cellStyle name="s_Dental (2)_1_Pasta2" xfId="3061" xr:uid="{00000000-0005-0000-0000-000043130000}"/>
    <cellStyle name="s_Dental (2)_2" xfId="3062" xr:uid="{00000000-0005-0000-0000-000044130000}"/>
    <cellStyle name="s_Dental (2)_2_Celtic DCF" xfId="3063" xr:uid="{00000000-0005-0000-0000-000045130000}"/>
    <cellStyle name="s_Dental (2)_2_Celtic DCF Inputs" xfId="3064" xr:uid="{00000000-0005-0000-0000-000046130000}"/>
    <cellStyle name="s_Dental (2)_2_Celtic DCF Inputs_Comparativo VP FIN v1_So 2008" xfId="7870" xr:uid="{00000000-0005-0000-0000-000047130000}"/>
    <cellStyle name="s_Dental (2)_2_Celtic DCF Inputs_Comparativo VP MKT 2008 v1_So 2008" xfId="7871" xr:uid="{00000000-0005-0000-0000-000048130000}"/>
    <cellStyle name="s_Dental (2)_2_Celtic DCF Inputs_Comparativo VP TEC 2008 v1_So 2008" xfId="7872" xr:uid="{00000000-0005-0000-0000-000049130000}"/>
    <cellStyle name="s_Dental (2)_2_Celtic DCF Inputs_Comparativo VP TEC 2008_Luiz Sergio" xfId="7873" xr:uid="{00000000-0005-0000-0000-00004A130000}"/>
    <cellStyle name="s_Dental (2)_2_Celtic DCF Inputs_Cópia de Modelo - Fluxo de Caixa Orcamento 09052009_V36_3" xfId="3065" xr:uid="{00000000-0005-0000-0000-00004B130000}"/>
    <cellStyle name="s_Dental (2)_2_Celtic DCF Inputs_Fluxo de Caixa Orcamento FINAL_13052009" xfId="3066" xr:uid="{00000000-0005-0000-0000-00004C130000}"/>
    <cellStyle name="s_Dental (2)_2_Celtic DCF Inputs_FM_dummyV4" xfId="3067" xr:uid="{00000000-0005-0000-0000-00004D130000}"/>
    <cellStyle name="s_Dental (2)_2_Celtic DCF Inputs_lalur" xfId="3068" xr:uid="{00000000-0005-0000-0000-00004E130000}"/>
    <cellStyle name="s_Dental (2)_2_Celtic DCF Inputs_Leasing_V3" xfId="3069" xr:uid="{00000000-0005-0000-0000-00004F130000}"/>
    <cellStyle name="s_Dental (2)_2_Celtic DCF Inputs_MODELO PDP III" xfId="3070" xr:uid="{00000000-0005-0000-0000-000050130000}"/>
    <cellStyle name="s_Dental (2)_2_Celtic DCF Inputs_ORÇ_2009" xfId="3071" xr:uid="{00000000-0005-0000-0000-000051130000}"/>
    <cellStyle name="s_Dental (2)_2_Celtic DCF Inputs_Pasta2" xfId="3072" xr:uid="{00000000-0005-0000-0000-000052130000}"/>
    <cellStyle name="s_Dental (2)_2_Celtic DCF_Comparativo VP FIN v1_So 2008" xfId="7874" xr:uid="{00000000-0005-0000-0000-000053130000}"/>
    <cellStyle name="s_Dental (2)_2_Celtic DCF_Comparativo VP MKT 2008 v1_So 2008" xfId="7875" xr:uid="{00000000-0005-0000-0000-000054130000}"/>
    <cellStyle name="s_Dental (2)_2_Celtic DCF_Comparativo VP TEC 2008 v1_So 2008" xfId="7876" xr:uid="{00000000-0005-0000-0000-000055130000}"/>
    <cellStyle name="s_Dental (2)_2_Celtic DCF_Comparativo VP TEC 2008_Luiz Sergio" xfId="7877" xr:uid="{00000000-0005-0000-0000-000056130000}"/>
    <cellStyle name="s_Dental (2)_2_Celtic DCF_Cópia de Modelo - Fluxo de Caixa Orcamento 09052009_V36_3" xfId="3073" xr:uid="{00000000-0005-0000-0000-000057130000}"/>
    <cellStyle name="s_Dental (2)_2_Celtic DCF_Fluxo de Caixa Orcamento FINAL_13052009" xfId="3074" xr:uid="{00000000-0005-0000-0000-000058130000}"/>
    <cellStyle name="s_Dental (2)_2_Celtic DCF_FM_dummyV4" xfId="3075" xr:uid="{00000000-0005-0000-0000-000059130000}"/>
    <cellStyle name="s_Dental (2)_2_Celtic DCF_lalur" xfId="3076" xr:uid="{00000000-0005-0000-0000-00005A130000}"/>
    <cellStyle name="s_Dental (2)_2_Celtic DCF_Leasing_V3" xfId="3077" xr:uid="{00000000-0005-0000-0000-00005B130000}"/>
    <cellStyle name="s_Dental (2)_2_Celtic DCF_MODELO PDP III" xfId="3078" xr:uid="{00000000-0005-0000-0000-00005C130000}"/>
    <cellStyle name="s_Dental (2)_2_Celtic DCF_ORÇ_2009" xfId="3079" xr:uid="{00000000-0005-0000-0000-00005D130000}"/>
    <cellStyle name="s_Dental (2)_2_Celtic DCF_Pasta2" xfId="3080" xr:uid="{00000000-0005-0000-0000-00005E130000}"/>
    <cellStyle name="s_Dental (2)_2_Comparativo VP FIN v1_So 2008" xfId="7878" xr:uid="{00000000-0005-0000-0000-00005F130000}"/>
    <cellStyle name="s_Dental (2)_2_Comparativo VP MKT 2008 v1_So 2008" xfId="7879" xr:uid="{00000000-0005-0000-0000-000060130000}"/>
    <cellStyle name="s_Dental (2)_2_Comparativo VP TEC 2008 v1_So 2008" xfId="7880" xr:uid="{00000000-0005-0000-0000-000061130000}"/>
    <cellStyle name="s_Dental (2)_2_Comparativo VP TEC 2008_Luiz Sergio" xfId="7881" xr:uid="{00000000-0005-0000-0000-000062130000}"/>
    <cellStyle name="s_Dental (2)_2_Cópia de Modelo - Fluxo de Caixa Orcamento 09052009_V36_3" xfId="3081" xr:uid="{00000000-0005-0000-0000-000063130000}"/>
    <cellStyle name="s_Dental (2)_2_Fluxo de Caixa Orcamento FINAL_13052009" xfId="3082" xr:uid="{00000000-0005-0000-0000-000064130000}"/>
    <cellStyle name="s_Dental (2)_2_FM_dummyV4" xfId="3083" xr:uid="{00000000-0005-0000-0000-000065130000}"/>
    <cellStyle name="s_Dental (2)_2_lalur" xfId="3084" xr:uid="{00000000-0005-0000-0000-000066130000}"/>
    <cellStyle name="s_Dental (2)_2_Leasing_V3" xfId="3085" xr:uid="{00000000-0005-0000-0000-000067130000}"/>
    <cellStyle name="s_Dental (2)_2_MODELO PDP III" xfId="3086" xr:uid="{00000000-0005-0000-0000-000068130000}"/>
    <cellStyle name="s_Dental (2)_2_ORÇ_2009" xfId="3087" xr:uid="{00000000-0005-0000-0000-000069130000}"/>
    <cellStyle name="s_Dental (2)_2_Pasta2" xfId="3088" xr:uid="{00000000-0005-0000-0000-00006A130000}"/>
    <cellStyle name="s_Dental (2)_2_Valuation Summary" xfId="3089" xr:uid="{00000000-0005-0000-0000-00006B130000}"/>
    <cellStyle name="s_Dental (2)_2_Valuation Summary_Comparativo VP FIN v1_So 2008" xfId="7882" xr:uid="{00000000-0005-0000-0000-00006C130000}"/>
    <cellStyle name="s_Dental (2)_2_Valuation Summary_Comparativo VP MKT 2008 v1_So 2008" xfId="7883" xr:uid="{00000000-0005-0000-0000-00006D130000}"/>
    <cellStyle name="s_Dental (2)_2_Valuation Summary_Comparativo VP TEC 2008 v1_So 2008" xfId="7884" xr:uid="{00000000-0005-0000-0000-00006E130000}"/>
    <cellStyle name="s_Dental (2)_2_Valuation Summary_Comparativo VP TEC 2008_Luiz Sergio" xfId="7885" xr:uid="{00000000-0005-0000-0000-00006F130000}"/>
    <cellStyle name="s_Dental (2)_2_Valuation Summary_Cópia de Modelo - Fluxo de Caixa Orcamento 09052009_V36_3" xfId="3090" xr:uid="{00000000-0005-0000-0000-000070130000}"/>
    <cellStyle name="s_Dental (2)_2_Valuation Summary_Fluxo de Caixa Orcamento FINAL_13052009" xfId="3091" xr:uid="{00000000-0005-0000-0000-000071130000}"/>
    <cellStyle name="s_Dental (2)_2_Valuation Summary_FM_dummyV4" xfId="3092" xr:uid="{00000000-0005-0000-0000-000072130000}"/>
    <cellStyle name="s_Dental (2)_2_Valuation Summary_lalur" xfId="3093" xr:uid="{00000000-0005-0000-0000-000073130000}"/>
    <cellStyle name="s_Dental (2)_2_Valuation Summary_Leasing_V3" xfId="3094" xr:uid="{00000000-0005-0000-0000-000074130000}"/>
    <cellStyle name="s_Dental (2)_2_Valuation Summary_MODELO PDP III" xfId="3095" xr:uid="{00000000-0005-0000-0000-000075130000}"/>
    <cellStyle name="s_Dental (2)_2_Valuation Summary_ORÇ_2009" xfId="3096" xr:uid="{00000000-0005-0000-0000-000076130000}"/>
    <cellStyle name="s_Dental (2)_2_Valuation Summary_Pasta2" xfId="3097" xr:uid="{00000000-0005-0000-0000-000077130000}"/>
    <cellStyle name="s_Dental (2)_Comparativo VP FIN v1_So 2008" xfId="7886" xr:uid="{00000000-0005-0000-0000-000078130000}"/>
    <cellStyle name="s_Dental (2)_Comparativo VP MKT 2008 v1_So 2008" xfId="7887" xr:uid="{00000000-0005-0000-0000-000079130000}"/>
    <cellStyle name="s_Dental (2)_Comparativo VP TEC 2008 v1_So 2008" xfId="7888" xr:uid="{00000000-0005-0000-0000-00007A130000}"/>
    <cellStyle name="s_Dental (2)_Comparativo VP TEC 2008_Luiz Sergio" xfId="7889" xr:uid="{00000000-0005-0000-0000-00007B130000}"/>
    <cellStyle name="s_Dental (2)_Cópia de Modelo - Fluxo de Caixa Orcamento 09052009_V36_3" xfId="3098" xr:uid="{00000000-0005-0000-0000-00007C130000}"/>
    <cellStyle name="s_Dental (2)_Fluxo de Caixa Orcamento FINAL_13052009" xfId="3099" xr:uid="{00000000-0005-0000-0000-00007D130000}"/>
    <cellStyle name="s_Dental (2)_FM_dummyV4" xfId="3100" xr:uid="{00000000-0005-0000-0000-00007E130000}"/>
    <cellStyle name="s_Dental (2)_lalur" xfId="3101" xr:uid="{00000000-0005-0000-0000-00007F130000}"/>
    <cellStyle name="s_Dental (2)_Leasing_V3" xfId="3102" xr:uid="{00000000-0005-0000-0000-000080130000}"/>
    <cellStyle name="s_Dental (2)_MODELO PDP III" xfId="3103" xr:uid="{00000000-0005-0000-0000-000081130000}"/>
    <cellStyle name="s_Dental (2)_ORÇ_2009" xfId="3104" xr:uid="{00000000-0005-0000-0000-000082130000}"/>
    <cellStyle name="s_Dental (2)_Pasta2" xfId="3105" xr:uid="{00000000-0005-0000-0000-000083130000}"/>
    <cellStyle name="s_Dilution" xfId="3106" xr:uid="{00000000-0005-0000-0000-000084130000}"/>
    <cellStyle name="s_Dilution_Comparativo VP FIN v1_So 2008" xfId="7890" xr:uid="{00000000-0005-0000-0000-000085130000}"/>
    <cellStyle name="s_Dilution_Comparativo VP MKT 2008 v1_So 2008" xfId="7891" xr:uid="{00000000-0005-0000-0000-000086130000}"/>
    <cellStyle name="s_Dilution_Comparativo VP TEC 2008 v1_So 2008" xfId="7892" xr:uid="{00000000-0005-0000-0000-000087130000}"/>
    <cellStyle name="s_Dilution_Comparativo VP TEC 2008_Luiz Sergio" xfId="7893" xr:uid="{00000000-0005-0000-0000-000088130000}"/>
    <cellStyle name="s_Dilution_Cópia de Modelo - Fluxo de Caixa Orcamento 09052009_V36_3" xfId="3107" xr:uid="{00000000-0005-0000-0000-000089130000}"/>
    <cellStyle name="s_Dilution_Fluxo de Caixa Orcamento FINAL_13052009" xfId="3108" xr:uid="{00000000-0005-0000-0000-00008A130000}"/>
    <cellStyle name="s_Dilution_FM_dummyV4" xfId="3109" xr:uid="{00000000-0005-0000-0000-00008B130000}"/>
    <cellStyle name="s_Dilution_lalur" xfId="3110" xr:uid="{00000000-0005-0000-0000-00008C130000}"/>
    <cellStyle name="s_Dilution_Leasing_V3" xfId="3111" xr:uid="{00000000-0005-0000-0000-00008D130000}"/>
    <cellStyle name="s_Dilution_MODELO PDP III" xfId="3112" xr:uid="{00000000-0005-0000-0000-00008E130000}"/>
    <cellStyle name="s_Dilution_ORÇ_2009" xfId="3113" xr:uid="{00000000-0005-0000-0000-00008F130000}"/>
    <cellStyle name="s_Dilution_Pasta2" xfId="3114" xr:uid="{00000000-0005-0000-0000-000090130000}"/>
    <cellStyle name="s_Dilution_Q2 pipeline" xfId="3115" xr:uid="{00000000-0005-0000-0000-000091130000}"/>
    <cellStyle name="s_Dilution_Q2 pipeline 2" xfId="7894" xr:uid="{00000000-0005-0000-0000-000092130000}"/>
    <cellStyle name="s_Dilution_Q2 pipeline_Cópia de Modelo - Fluxo de Caixa Orcamento 09052009_V36_3" xfId="3116" xr:uid="{00000000-0005-0000-0000-000093130000}"/>
    <cellStyle name="s_Dilution_Q2 pipeline_Cópia de Modelo - Fluxo de Caixa Orcamento 09052009_V36_3 2" xfId="7895" xr:uid="{00000000-0005-0000-0000-000094130000}"/>
    <cellStyle name="s_Dilution_Q2 pipeline_Fluxo de Caixa Orcamento FINAL_13052009" xfId="3117" xr:uid="{00000000-0005-0000-0000-000095130000}"/>
    <cellStyle name="s_Dilution_Q2 pipeline_Fluxo de Caixa Orcamento FINAL_13052009 2" xfId="7896" xr:uid="{00000000-0005-0000-0000-000096130000}"/>
    <cellStyle name="s_Dilution_Q2 pipeline_FM_dummyV4" xfId="3118" xr:uid="{00000000-0005-0000-0000-000097130000}"/>
    <cellStyle name="s_Dilution_Q2 pipeline_lalur" xfId="3119" xr:uid="{00000000-0005-0000-0000-000098130000}"/>
    <cellStyle name="s_Dilution_Q2 pipeline_Leasing_V3" xfId="3120" xr:uid="{00000000-0005-0000-0000-000099130000}"/>
    <cellStyle name="s_Dilution_Q2 pipeline_MODELO PDP III" xfId="3121" xr:uid="{00000000-0005-0000-0000-00009A130000}"/>
    <cellStyle name="s_Dilution_Q2 pipeline_ORÇ_2009" xfId="3122" xr:uid="{00000000-0005-0000-0000-00009B130000}"/>
    <cellStyle name="s_Dilution_Q2 pipeline_ORÇ_2009 2" xfId="7897" xr:uid="{00000000-0005-0000-0000-00009C130000}"/>
    <cellStyle name="s_Dilution_Q2 pipeline_Pasta2" xfId="3123" xr:uid="{00000000-0005-0000-0000-00009D130000}"/>
    <cellStyle name="s_Dilution_Q2 pipeline_Pasta2 2" xfId="7898" xr:uid="{00000000-0005-0000-0000-00009E130000}"/>
    <cellStyle name="s_E (2)" xfId="3124" xr:uid="{00000000-0005-0000-0000-00009F130000}"/>
    <cellStyle name="s_E (2)_1" xfId="3125" xr:uid="{00000000-0005-0000-0000-0000A0130000}"/>
    <cellStyle name="s_E (2)_1_Comparativo VP FIN v1_So 2008" xfId="7899" xr:uid="{00000000-0005-0000-0000-0000A1130000}"/>
    <cellStyle name="s_E (2)_1_Comparativo VP MKT 2008 v1_So 2008" xfId="7900" xr:uid="{00000000-0005-0000-0000-0000A2130000}"/>
    <cellStyle name="s_E (2)_1_Comparativo VP TEC 2008 v1_So 2008" xfId="7901" xr:uid="{00000000-0005-0000-0000-0000A3130000}"/>
    <cellStyle name="s_E (2)_1_Comparativo VP TEC 2008_Luiz Sergio" xfId="7902" xr:uid="{00000000-0005-0000-0000-0000A4130000}"/>
    <cellStyle name="s_E (2)_1_Cópia de Modelo - Fluxo de Caixa Orcamento 09052009_V36_3" xfId="3126" xr:uid="{00000000-0005-0000-0000-0000A5130000}"/>
    <cellStyle name="s_E (2)_1_Fluxo de Caixa Orcamento FINAL_13052009" xfId="3127" xr:uid="{00000000-0005-0000-0000-0000A6130000}"/>
    <cellStyle name="s_E (2)_1_FM_dummyV4" xfId="3128" xr:uid="{00000000-0005-0000-0000-0000A7130000}"/>
    <cellStyle name="s_E (2)_1_lalur" xfId="3129" xr:uid="{00000000-0005-0000-0000-0000A8130000}"/>
    <cellStyle name="s_E (2)_1_Leasing_V3" xfId="3130" xr:uid="{00000000-0005-0000-0000-0000A9130000}"/>
    <cellStyle name="s_E (2)_1_MODELO PDP III" xfId="3131" xr:uid="{00000000-0005-0000-0000-0000AA130000}"/>
    <cellStyle name="s_E (2)_1_ORÇ_2009" xfId="3132" xr:uid="{00000000-0005-0000-0000-0000AB130000}"/>
    <cellStyle name="s_E (2)_1_Pasta2" xfId="3133" xr:uid="{00000000-0005-0000-0000-0000AC130000}"/>
    <cellStyle name="s_E (2)_Comparativo VP FIN v1_So 2008" xfId="7903" xr:uid="{00000000-0005-0000-0000-0000AD130000}"/>
    <cellStyle name="s_E (2)_Comparativo VP MKT 2008 v1_So 2008" xfId="7904" xr:uid="{00000000-0005-0000-0000-0000AE130000}"/>
    <cellStyle name="s_E (2)_Comparativo VP TEC 2008 v1_So 2008" xfId="7905" xr:uid="{00000000-0005-0000-0000-0000AF130000}"/>
    <cellStyle name="s_E (2)_Comparativo VP TEC 2008_Luiz Sergio" xfId="7906" xr:uid="{00000000-0005-0000-0000-0000B0130000}"/>
    <cellStyle name="s_E (2)_Cópia de Modelo - Fluxo de Caixa Orcamento 09052009_V36_3" xfId="3134" xr:uid="{00000000-0005-0000-0000-0000B1130000}"/>
    <cellStyle name="s_E (2)_Fluxo de Caixa Orcamento FINAL_13052009" xfId="3135" xr:uid="{00000000-0005-0000-0000-0000B2130000}"/>
    <cellStyle name="s_E (2)_FM_dummyV4" xfId="3136" xr:uid="{00000000-0005-0000-0000-0000B3130000}"/>
    <cellStyle name="s_E (2)_lalur" xfId="3137" xr:uid="{00000000-0005-0000-0000-0000B4130000}"/>
    <cellStyle name="s_E (2)_Leasing_V3" xfId="3138" xr:uid="{00000000-0005-0000-0000-0000B5130000}"/>
    <cellStyle name="s_E (2)_MODELO PDP III" xfId="3139" xr:uid="{00000000-0005-0000-0000-0000B6130000}"/>
    <cellStyle name="s_E (2)_ORÇ_2009" xfId="3140" xr:uid="{00000000-0005-0000-0000-0000B7130000}"/>
    <cellStyle name="s_E (2)_Pasta2" xfId="3141" xr:uid="{00000000-0005-0000-0000-0000B8130000}"/>
    <cellStyle name="s_Earnings" xfId="3142" xr:uid="{00000000-0005-0000-0000-0000B9130000}"/>
    <cellStyle name="s_Earnings (2)" xfId="3143" xr:uid="{00000000-0005-0000-0000-0000BA130000}"/>
    <cellStyle name="s_Earnings (2)_1" xfId="3144" xr:uid="{00000000-0005-0000-0000-0000BB130000}"/>
    <cellStyle name="s_Earnings (2)_1_Comparativo VP FIN v1_So 2008" xfId="7907" xr:uid="{00000000-0005-0000-0000-0000BC130000}"/>
    <cellStyle name="s_Earnings (2)_1_Comparativo VP MKT 2008 v1_So 2008" xfId="7908" xr:uid="{00000000-0005-0000-0000-0000BD130000}"/>
    <cellStyle name="s_Earnings (2)_1_Comparativo VP TEC 2008 v1_So 2008" xfId="7909" xr:uid="{00000000-0005-0000-0000-0000BE130000}"/>
    <cellStyle name="s_Earnings (2)_1_Comparativo VP TEC 2008_Luiz Sergio" xfId="7910" xr:uid="{00000000-0005-0000-0000-0000BF130000}"/>
    <cellStyle name="s_Earnings (2)_1_Cópia de Modelo - Fluxo de Caixa Orcamento 09052009_V36_3" xfId="3145" xr:uid="{00000000-0005-0000-0000-0000C0130000}"/>
    <cellStyle name="s_Earnings (2)_1_Fluxo de Caixa Orcamento FINAL_13052009" xfId="3146" xr:uid="{00000000-0005-0000-0000-0000C1130000}"/>
    <cellStyle name="s_Earnings (2)_1_FM_dummyV4" xfId="3147" xr:uid="{00000000-0005-0000-0000-0000C2130000}"/>
    <cellStyle name="s_Earnings (2)_1_lalur" xfId="3148" xr:uid="{00000000-0005-0000-0000-0000C3130000}"/>
    <cellStyle name="s_Earnings (2)_1_Leasing_V3" xfId="3149" xr:uid="{00000000-0005-0000-0000-0000C4130000}"/>
    <cellStyle name="s_Earnings (2)_1_MODELO PDP III" xfId="3150" xr:uid="{00000000-0005-0000-0000-0000C5130000}"/>
    <cellStyle name="s_Earnings (2)_1_ORÇ_2009" xfId="3151" xr:uid="{00000000-0005-0000-0000-0000C6130000}"/>
    <cellStyle name="s_Earnings (2)_1_Pasta2" xfId="3152" xr:uid="{00000000-0005-0000-0000-0000C7130000}"/>
    <cellStyle name="s_Earnings (2)_Comparativo VP FIN v1_So 2008" xfId="7911" xr:uid="{00000000-0005-0000-0000-0000C8130000}"/>
    <cellStyle name="s_Earnings (2)_Comparativo VP MKT 2008 v1_So 2008" xfId="7912" xr:uid="{00000000-0005-0000-0000-0000C9130000}"/>
    <cellStyle name="s_Earnings (2)_Comparativo VP TEC 2008 v1_So 2008" xfId="7913" xr:uid="{00000000-0005-0000-0000-0000CA130000}"/>
    <cellStyle name="s_Earnings (2)_Comparativo VP TEC 2008_Luiz Sergio" xfId="7914" xr:uid="{00000000-0005-0000-0000-0000CB130000}"/>
    <cellStyle name="s_Earnings (2)_Cópia de Modelo - Fluxo de Caixa Orcamento 09052009_V36_3" xfId="3153" xr:uid="{00000000-0005-0000-0000-0000CC130000}"/>
    <cellStyle name="s_Earnings (2)_Fluxo de Caixa Orcamento FINAL_13052009" xfId="3154" xr:uid="{00000000-0005-0000-0000-0000CD130000}"/>
    <cellStyle name="s_Earnings (2)_FM_dummyV4" xfId="3155" xr:uid="{00000000-0005-0000-0000-0000CE130000}"/>
    <cellStyle name="s_Earnings (2)_lalur" xfId="3156" xr:uid="{00000000-0005-0000-0000-0000CF130000}"/>
    <cellStyle name="s_Earnings (2)_Leasing_V3" xfId="3157" xr:uid="{00000000-0005-0000-0000-0000D0130000}"/>
    <cellStyle name="s_Earnings (2)_MODELO PDP III" xfId="3158" xr:uid="{00000000-0005-0000-0000-0000D1130000}"/>
    <cellStyle name="s_Earnings (2)_ORÇ_2009" xfId="3159" xr:uid="{00000000-0005-0000-0000-0000D2130000}"/>
    <cellStyle name="s_Earnings (2)_Pasta2" xfId="3160" xr:uid="{00000000-0005-0000-0000-0000D3130000}"/>
    <cellStyle name="s_Earnings_1" xfId="3161" xr:uid="{00000000-0005-0000-0000-0000D4130000}"/>
    <cellStyle name="s_Earnings_1_AM0909" xfId="3162" xr:uid="{00000000-0005-0000-0000-0000D5130000}"/>
    <cellStyle name="s_Earnings_1_AM0909_Comparativo VP FIN v1_So 2008" xfId="7915" xr:uid="{00000000-0005-0000-0000-0000D6130000}"/>
    <cellStyle name="s_Earnings_1_AM0909_Comparativo VP MKT 2008 v1_So 2008" xfId="7916" xr:uid="{00000000-0005-0000-0000-0000D7130000}"/>
    <cellStyle name="s_Earnings_1_AM0909_Comparativo VP TEC 2008 v1_So 2008" xfId="7917" xr:uid="{00000000-0005-0000-0000-0000D8130000}"/>
    <cellStyle name="s_Earnings_1_AM0909_Comparativo VP TEC 2008_Luiz Sergio" xfId="7918" xr:uid="{00000000-0005-0000-0000-0000D9130000}"/>
    <cellStyle name="s_Earnings_1_AM0909_Cópia de Modelo - Fluxo de Caixa Orcamento 09052009_V36_3" xfId="3163" xr:uid="{00000000-0005-0000-0000-0000DA130000}"/>
    <cellStyle name="s_Earnings_1_AM0909_Fluxo de Caixa Orcamento FINAL_13052009" xfId="3164" xr:uid="{00000000-0005-0000-0000-0000DB130000}"/>
    <cellStyle name="s_Earnings_1_AM0909_FM_dummyV4" xfId="3165" xr:uid="{00000000-0005-0000-0000-0000DC130000}"/>
    <cellStyle name="s_Earnings_1_AM0909_lalur" xfId="3166" xr:uid="{00000000-0005-0000-0000-0000DD130000}"/>
    <cellStyle name="s_Earnings_1_AM0909_Leasing_V3" xfId="3167" xr:uid="{00000000-0005-0000-0000-0000DE130000}"/>
    <cellStyle name="s_Earnings_1_AM0909_MODELO PDP III" xfId="3168" xr:uid="{00000000-0005-0000-0000-0000DF130000}"/>
    <cellStyle name="s_Earnings_1_AM0909_ORÇ_2009" xfId="3169" xr:uid="{00000000-0005-0000-0000-0000E0130000}"/>
    <cellStyle name="s_Earnings_1_AM0909_Pasta2" xfId="3170" xr:uid="{00000000-0005-0000-0000-0000E1130000}"/>
    <cellStyle name="s_Earnings_1_Brenner" xfId="3171" xr:uid="{00000000-0005-0000-0000-0000E2130000}"/>
    <cellStyle name="s_Earnings_1_Brenner_Comparativo VP FIN v1_So 2008" xfId="7919" xr:uid="{00000000-0005-0000-0000-0000E3130000}"/>
    <cellStyle name="s_Earnings_1_Brenner_Comparativo VP MKT 2008 v1_So 2008" xfId="7920" xr:uid="{00000000-0005-0000-0000-0000E4130000}"/>
    <cellStyle name="s_Earnings_1_Brenner_Comparativo VP TEC 2008 v1_So 2008" xfId="7921" xr:uid="{00000000-0005-0000-0000-0000E5130000}"/>
    <cellStyle name="s_Earnings_1_Brenner_Comparativo VP TEC 2008_Luiz Sergio" xfId="7922" xr:uid="{00000000-0005-0000-0000-0000E6130000}"/>
    <cellStyle name="s_Earnings_1_Brenner_Cópia de Modelo - Fluxo de Caixa Orcamento 09052009_V36_3" xfId="3172" xr:uid="{00000000-0005-0000-0000-0000E7130000}"/>
    <cellStyle name="s_Earnings_1_Brenner_Fluxo de Caixa Orcamento FINAL_13052009" xfId="3173" xr:uid="{00000000-0005-0000-0000-0000E8130000}"/>
    <cellStyle name="s_Earnings_1_Brenner_FM_dummyV4" xfId="3174" xr:uid="{00000000-0005-0000-0000-0000E9130000}"/>
    <cellStyle name="s_Earnings_1_Brenner_lalur" xfId="3175" xr:uid="{00000000-0005-0000-0000-0000EA130000}"/>
    <cellStyle name="s_Earnings_1_Brenner_Leasing_V3" xfId="3176" xr:uid="{00000000-0005-0000-0000-0000EB130000}"/>
    <cellStyle name="s_Earnings_1_Brenner_MODELO PDP III" xfId="3177" xr:uid="{00000000-0005-0000-0000-0000EC130000}"/>
    <cellStyle name="s_Earnings_1_Brenner_ORÇ_2009" xfId="3178" xr:uid="{00000000-0005-0000-0000-0000ED130000}"/>
    <cellStyle name="s_Earnings_1_Brenner_Pasta2" xfId="3179" xr:uid="{00000000-0005-0000-0000-0000EE130000}"/>
    <cellStyle name="s_Earnings_1_Comparativo VP FIN v1_So 2008" xfId="7923" xr:uid="{00000000-0005-0000-0000-0000EF130000}"/>
    <cellStyle name="s_Earnings_1_Comparativo VP MKT 2008 v1_So 2008" xfId="7924" xr:uid="{00000000-0005-0000-0000-0000F0130000}"/>
    <cellStyle name="s_Earnings_1_Comparativo VP TEC 2008 v1_So 2008" xfId="7925" xr:uid="{00000000-0005-0000-0000-0000F1130000}"/>
    <cellStyle name="s_Earnings_1_Comparativo VP TEC 2008_Luiz Sergio" xfId="7926" xr:uid="{00000000-0005-0000-0000-0000F2130000}"/>
    <cellStyle name="s_Earnings_1_Cópia de Modelo - Fluxo de Caixa Orcamento 09052009_V36_3" xfId="3180" xr:uid="{00000000-0005-0000-0000-0000F3130000}"/>
    <cellStyle name="s_Earnings_1_Fluxo de Caixa Orcamento FINAL_13052009" xfId="3181" xr:uid="{00000000-0005-0000-0000-0000F4130000}"/>
    <cellStyle name="s_Earnings_1_FM_dummyV4" xfId="3182" xr:uid="{00000000-0005-0000-0000-0000F5130000}"/>
    <cellStyle name="s_Earnings_1_lalur" xfId="3183" xr:uid="{00000000-0005-0000-0000-0000F6130000}"/>
    <cellStyle name="s_Earnings_1_Leasing_V3" xfId="3184" xr:uid="{00000000-0005-0000-0000-0000F7130000}"/>
    <cellStyle name="s_Earnings_1_MODELO PDP III" xfId="3185" xr:uid="{00000000-0005-0000-0000-0000F8130000}"/>
    <cellStyle name="s_Earnings_1_ORÇ_2009" xfId="3186" xr:uid="{00000000-0005-0000-0000-0000F9130000}"/>
    <cellStyle name="s_Earnings_1_Pasta2" xfId="3187" xr:uid="{00000000-0005-0000-0000-0000FA130000}"/>
    <cellStyle name="s_Earnings_2" xfId="3188" xr:uid="{00000000-0005-0000-0000-0000FB130000}"/>
    <cellStyle name="s_Earnings_2_AM0909" xfId="3189" xr:uid="{00000000-0005-0000-0000-0000FC130000}"/>
    <cellStyle name="s_Earnings_2_AM0909_Comparativo VP FIN v1_So 2008" xfId="7927" xr:uid="{00000000-0005-0000-0000-0000FD130000}"/>
    <cellStyle name="s_Earnings_2_AM0909_Comparativo VP MKT 2008 v1_So 2008" xfId="7928" xr:uid="{00000000-0005-0000-0000-0000FE130000}"/>
    <cellStyle name="s_Earnings_2_AM0909_Comparativo VP TEC 2008 v1_So 2008" xfId="7929" xr:uid="{00000000-0005-0000-0000-0000FF130000}"/>
    <cellStyle name="s_Earnings_2_AM0909_Comparativo VP TEC 2008_Luiz Sergio" xfId="7930" xr:uid="{00000000-0005-0000-0000-000000140000}"/>
    <cellStyle name="s_Earnings_2_AM0909_Cópia de Modelo - Fluxo de Caixa Orcamento 09052009_V36_3" xfId="3190" xr:uid="{00000000-0005-0000-0000-000001140000}"/>
    <cellStyle name="s_Earnings_2_AM0909_Fluxo de Caixa Orcamento FINAL_13052009" xfId="3191" xr:uid="{00000000-0005-0000-0000-000002140000}"/>
    <cellStyle name="s_Earnings_2_AM0909_FM_dummyV4" xfId="3192" xr:uid="{00000000-0005-0000-0000-000003140000}"/>
    <cellStyle name="s_Earnings_2_AM0909_lalur" xfId="3193" xr:uid="{00000000-0005-0000-0000-000004140000}"/>
    <cellStyle name="s_Earnings_2_AM0909_Leasing_V3" xfId="3194" xr:uid="{00000000-0005-0000-0000-000005140000}"/>
    <cellStyle name="s_Earnings_2_AM0909_MODELO PDP III" xfId="3195" xr:uid="{00000000-0005-0000-0000-000006140000}"/>
    <cellStyle name="s_Earnings_2_AM0909_ORÇ_2009" xfId="3196" xr:uid="{00000000-0005-0000-0000-000007140000}"/>
    <cellStyle name="s_Earnings_2_AM0909_Pasta2" xfId="3197" xr:uid="{00000000-0005-0000-0000-000008140000}"/>
    <cellStyle name="s_Earnings_2_Brenner" xfId="3198" xr:uid="{00000000-0005-0000-0000-000009140000}"/>
    <cellStyle name="s_Earnings_2_Brenner_Comparativo VP FIN v1_So 2008" xfId="7931" xr:uid="{00000000-0005-0000-0000-00000A140000}"/>
    <cellStyle name="s_Earnings_2_Brenner_Comparativo VP MKT 2008 v1_So 2008" xfId="7932" xr:uid="{00000000-0005-0000-0000-00000B140000}"/>
    <cellStyle name="s_Earnings_2_Brenner_Comparativo VP TEC 2008 v1_So 2008" xfId="7933" xr:uid="{00000000-0005-0000-0000-00000C140000}"/>
    <cellStyle name="s_Earnings_2_Brenner_Comparativo VP TEC 2008_Luiz Sergio" xfId="7934" xr:uid="{00000000-0005-0000-0000-00000D140000}"/>
    <cellStyle name="s_Earnings_2_Brenner_Cópia de Modelo - Fluxo de Caixa Orcamento 09052009_V36_3" xfId="3199" xr:uid="{00000000-0005-0000-0000-00000E140000}"/>
    <cellStyle name="s_Earnings_2_Brenner_Fluxo de Caixa Orcamento FINAL_13052009" xfId="3200" xr:uid="{00000000-0005-0000-0000-00000F140000}"/>
    <cellStyle name="s_Earnings_2_Brenner_FM_dummyV4" xfId="3201" xr:uid="{00000000-0005-0000-0000-000010140000}"/>
    <cellStyle name="s_Earnings_2_Brenner_lalur" xfId="3202" xr:uid="{00000000-0005-0000-0000-000011140000}"/>
    <cellStyle name="s_Earnings_2_Brenner_Leasing_V3" xfId="3203" xr:uid="{00000000-0005-0000-0000-000012140000}"/>
    <cellStyle name="s_Earnings_2_Brenner_MODELO PDP III" xfId="3204" xr:uid="{00000000-0005-0000-0000-000013140000}"/>
    <cellStyle name="s_Earnings_2_Brenner_ORÇ_2009" xfId="3205" xr:uid="{00000000-0005-0000-0000-000014140000}"/>
    <cellStyle name="s_Earnings_2_Brenner_Pasta2" xfId="3206" xr:uid="{00000000-0005-0000-0000-000015140000}"/>
    <cellStyle name="s_Earnings_2_Comparativo VP FIN v1_So 2008" xfId="7935" xr:uid="{00000000-0005-0000-0000-000016140000}"/>
    <cellStyle name="s_Earnings_2_Comparativo VP MKT 2008 v1_So 2008" xfId="7936" xr:uid="{00000000-0005-0000-0000-000017140000}"/>
    <cellStyle name="s_Earnings_2_Comparativo VP TEC 2008 v1_So 2008" xfId="7937" xr:uid="{00000000-0005-0000-0000-000018140000}"/>
    <cellStyle name="s_Earnings_2_Comparativo VP TEC 2008_Luiz Sergio" xfId="7938" xr:uid="{00000000-0005-0000-0000-000019140000}"/>
    <cellStyle name="s_Earnings_2_Cópia de Modelo - Fluxo de Caixa Orcamento 09052009_V36_3" xfId="3207" xr:uid="{00000000-0005-0000-0000-00001A140000}"/>
    <cellStyle name="s_Earnings_2_Fluxo de Caixa Orcamento FINAL_13052009" xfId="3208" xr:uid="{00000000-0005-0000-0000-00001B140000}"/>
    <cellStyle name="s_Earnings_2_FM_dummyV4" xfId="3209" xr:uid="{00000000-0005-0000-0000-00001C140000}"/>
    <cellStyle name="s_Earnings_2_lalur" xfId="3210" xr:uid="{00000000-0005-0000-0000-00001D140000}"/>
    <cellStyle name="s_Earnings_2_Leasing_V3" xfId="3211" xr:uid="{00000000-0005-0000-0000-00001E140000}"/>
    <cellStyle name="s_Earnings_2_MODELO PDP III" xfId="3212" xr:uid="{00000000-0005-0000-0000-00001F140000}"/>
    <cellStyle name="s_Earnings_2_ORÇ_2009" xfId="3213" xr:uid="{00000000-0005-0000-0000-000020140000}"/>
    <cellStyle name="s_Earnings_2_Pasta2" xfId="3214" xr:uid="{00000000-0005-0000-0000-000021140000}"/>
    <cellStyle name="s_Earnings_AM0909" xfId="3215" xr:uid="{00000000-0005-0000-0000-000022140000}"/>
    <cellStyle name="s_Earnings_AM0909_Comparativo VP FIN v1_So 2008" xfId="7939" xr:uid="{00000000-0005-0000-0000-000023140000}"/>
    <cellStyle name="s_Earnings_AM0909_Comparativo VP MKT 2008 v1_So 2008" xfId="7940" xr:uid="{00000000-0005-0000-0000-000024140000}"/>
    <cellStyle name="s_Earnings_AM0909_Comparativo VP TEC 2008 v1_So 2008" xfId="7941" xr:uid="{00000000-0005-0000-0000-000025140000}"/>
    <cellStyle name="s_Earnings_AM0909_Comparativo VP TEC 2008_Luiz Sergio" xfId="7942" xr:uid="{00000000-0005-0000-0000-000026140000}"/>
    <cellStyle name="s_Earnings_AM0909_Cópia de Modelo - Fluxo de Caixa Orcamento 09052009_V36_3" xfId="3216" xr:uid="{00000000-0005-0000-0000-000027140000}"/>
    <cellStyle name="s_Earnings_AM0909_Fluxo de Caixa Orcamento FINAL_13052009" xfId="3217" xr:uid="{00000000-0005-0000-0000-000028140000}"/>
    <cellStyle name="s_Earnings_AM0909_FM_dummyV4" xfId="3218" xr:uid="{00000000-0005-0000-0000-000029140000}"/>
    <cellStyle name="s_Earnings_AM0909_lalur" xfId="3219" xr:uid="{00000000-0005-0000-0000-00002A140000}"/>
    <cellStyle name="s_Earnings_AM0909_Leasing_V3" xfId="3220" xr:uid="{00000000-0005-0000-0000-00002B140000}"/>
    <cellStyle name="s_Earnings_AM0909_MODELO PDP III" xfId="3221" xr:uid="{00000000-0005-0000-0000-00002C140000}"/>
    <cellStyle name="s_Earnings_AM0909_ORÇ_2009" xfId="3222" xr:uid="{00000000-0005-0000-0000-00002D140000}"/>
    <cellStyle name="s_Earnings_AM0909_Pasta2" xfId="3223" xr:uid="{00000000-0005-0000-0000-00002E140000}"/>
    <cellStyle name="s_Earnings_Brenner" xfId="3224" xr:uid="{00000000-0005-0000-0000-00002F140000}"/>
    <cellStyle name="s_Earnings_Brenner_Comparativo VP FIN v1_So 2008" xfId="7943" xr:uid="{00000000-0005-0000-0000-000030140000}"/>
    <cellStyle name="s_Earnings_Brenner_Comparativo VP MKT 2008 v1_So 2008" xfId="7944" xr:uid="{00000000-0005-0000-0000-000031140000}"/>
    <cellStyle name="s_Earnings_Brenner_Comparativo VP TEC 2008 v1_So 2008" xfId="7945" xr:uid="{00000000-0005-0000-0000-000032140000}"/>
    <cellStyle name="s_Earnings_Brenner_Comparativo VP TEC 2008_Luiz Sergio" xfId="7946" xr:uid="{00000000-0005-0000-0000-000033140000}"/>
    <cellStyle name="s_Earnings_Brenner_Cópia de Modelo - Fluxo de Caixa Orcamento 09052009_V36_3" xfId="3225" xr:uid="{00000000-0005-0000-0000-000034140000}"/>
    <cellStyle name="s_Earnings_Brenner_Fluxo de Caixa Orcamento FINAL_13052009" xfId="3226" xr:uid="{00000000-0005-0000-0000-000035140000}"/>
    <cellStyle name="s_Earnings_Brenner_FM_dummyV4" xfId="3227" xr:uid="{00000000-0005-0000-0000-000036140000}"/>
    <cellStyle name="s_Earnings_Brenner_lalur" xfId="3228" xr:uid="{00000000-0005-0000-0000-000037140000}"/>
    <cellStyle name="s_Earnings_Brenner_Leasing_V3" xfId="3229" xr:uid="{00000000-0005-0000-0000-000038140000}"/>
    <cellStyle name="s_Earnings_Brenner_MODELO PDP III" xfId="3230" xr:uid="{00000000-0005-0000-0000-000039140000}"/>
    <cellStyle name="s_Earnings_Brenner_ORÇ_2009" xfId="3231" xr:uid="{00000000-0005-0000-0000-00003A140000}"/>
    <cellStyle name="s_Earnings_Brenner_Pasta2" xfId="3232" xr:uid="{00000000-0005-0000-0000-00003B140000}"/>
    <cellStyle name="s_Earnings_Comparativo VP FIN v1_So 2008" xfId="7947" xr:uid="{00000000-0005-0000-0000-00003C140000}"/>
    <cellStyle name="s_Earnings_Comparativo VP MKT 2008 v1_So 2008" xfId="7948" xr:uid="{00000000-0005-0000-0000-00003D140000}"/>
    <cellStyle name="s_Earnings_Comparativo VP TEC 2008 v1_So 2008" xfId="7949" xr:uid="{00000000-0005-0000-0000-00003E140000}"/>
    <cellStyle name="s_Earnings_Comparativo VP TEC 2008_Luiz Sergio" xfId="7950" xr:uid="{00000000-0005-0000-0000-00003F140000}"/>
    <cellStyle name="s_Earnings_Cópia de Modelo - Fluxo de Caixa Orcamento 09052009_V36_3" xfId="3233" xr:uid="{00000000-0005-0000-0000-000040140000}"/>
    <cellStyle name="s_Earnings_Fluxo de Caixa Orcamento FINAL_13052009" xfId="3234" xr:uid="{00000000-0005-0000-0000-000041140000}"/>
    <cellStyle name="s_Earnings_FM_dummyV4" xfId="3235" xr:uid="{00000000-0005-0000-0000-000042140000}"/>
    <cellStyle name="s_Earnings_lalur" xfId="3236" xr:uid="{00000000-0005-0000-0000-000043140000}"/>
    <cellStyle name="s_Earnings_Leasing_V3" xfId="3237" xr:uid="{00000000-0005-0000-0000-000044140000}"/>
    <cellStyle name="s_Earnings_MODELO PDP III" xfId="3238" xr:uid="{00000000-0005-0000-0000-000045140000}"/>
    <cellStyle name="s_Earnings_ORÇ_2009" xfId="3239" xr:uid="{00000000-0005-0000-0000-000046140000}"/>
    <cellStyle name="s_Earnings_Pasta2" xfId="3240" xr:uid="{00000000-0005-0000-0000-000047140000}"/>
    <cellStyle name="s_East Coast (2)" xfId="3241" xr:uid="{00000000-0005-0000-0000-000048140000}"/>
    <cellStyle name="s_East Coast (2)_1" xfId="3242" xr:uid="{00000000-0005-0000-0000-000049140000}"/>
    <cellStyle name="s_East Coast (2)_1_Comparativo VP FIN v1_So 2008" xfId="7951" xr:uid="{00000000-0005-0000-0000-00004A140000}"/>
    <cellStyle name="s_East Coast (2)_1_Comparativo VP MKT 2008 v1_So 2008" xfId="7952" xr:uid="{00000000-0005-0000-0000-00004B140000}"/>
    <cellStyle name="s_East Coast (2)_1_Comparativo VP TEC 2008 v1_So 2008" xfId="7953" xr:uid="{00000000-0005-0000-0000-00004C140000}"/>
    <cellStyle name="s_East Coast (2)_1_Comparativo VP TEC 2008_Luiz Sergio" xfId="7954" xr:uid="{00000000-0005-0000-0000-00004D140000}"/>
    <cellStyle name="s_East Coast (2)_1_Cópia de Modelo - Fluxo de Caixa Orcamento 09052009_V36_3" xfId="3243" xr:uid="{00000000-0005-0000-0000-00004E140000}"/>
    <cellStyle name="s_East Coast (2)_1_Fluxo de Caixa Orcamento FINAL_13052009" xfId="3244" xr:uid="{00000000-0005-0000-0000-00004F140000}"/>
    <cellStyle name="s_East Coast (2)_1_FM_dummyV4" xfId="3245" xr:uid="{00000000-0005-0000-0000-000050140000}"/>
    <cellStyle name="s_East Coast (2)_1_lalur" xfId="3246" xr:uid="{00000000-0005-0000-0000-000051140000}"/>
    <cellStyle name="s_East Coast (2)_1_Leasing_V3" xfId="3247" xr:uid="{00000000-0005-0000-0000-000052140000}"/>
    <cellStyle name="s_East Coast (2)_1_MODELO PDP III" xfId="3248" xr:uid="{00000000-0005-0000-0000-000053140000}"/>
    <cellStyle name="s_East Coast (2)_1_ORÇ_2009" xfId="3249" xr:uid="{00000000-0005-0000-0000-000054140000}"/>
    <cellStyle name="s_East Coast (2)_1_Pasta2" xfId="3250" xr:uid="{00000000-0005-0000-0000-000055140000}"/>
    <cellStyle name="s_East Coast (2)_2" xfId="3251" xr:uid="{00000000-0005-0000-0000-000056140000}"/>
    <cellStyle name="s_East Coast (2)_2_Comparativo VP FIN v1_So 2008" xfId="7955" xr:uid="{00000000-0005-0000-0000-000057140000}"/>
    <cellStyle name="s_East Coast (2)_2_Comparativo VP MKT 2008 v1_So 2008" xfId="7956" xr:uid="{00000000-0005-0000-0000-000058140000}"/>
    <cellStyle name="s_East Coast (2)_2_Comparativo VP TEC 2008 v1_So 2008" xfId="7957" xr:uid="{00000000-0005-0000-0000-000059140000}"/>
    <cellStyle name="s_East Coast (2)_2_Comparativo VP TEC 2008_Luiz Sergio" xfId="7958" xr:uid="{00000000-0005-0000-0000-00005A140000}"/>
    <cellStyle name="s_East Coast (2)_2_Cópia de Modelo - Fluxo de Caixa Orcamento 09052009_V36_3" xfId="3252" xr:uid="{00000000-0005-0000-0000-00005B140000}"/>
    <cellStyle name="s_East Coast (2)_2_Fluxo de Caixa Orcamento FINAL_13052009" xfId="3253" xr:uid="{00000000-0005-0000-0000-00005C140000}"/>
    <cellStyle name="s_East Coast (2)_2_FM_dummyV4" xfId="3254" xr:uid="{00000000-0005-0000-0000-00005D140000}"/>
    <cellStyle name="s_East Coast (2)_2_lalur" xfId="3255" xr:uid="{00000000-0005-0000-0000-00005E140000}"/>
    <cellStyle name="s_East Coast (2)_2_Leasing_V3" xfId="3256" xr:uid="{00000000-0005-0000-0000-00005F140000}"/>
    <cellStyle name="s_East Coast (2)_2_MODELO PDP III" xfId="3257" xr:uid="{00000000-0005-0000-0000-000060140000}"/>
    <cellStyle name="s_East Coast (2)_2_ORÇ_2009" xfId="3258" xr:uid="{00000000-0005-0000-0000-000061140000}"/>
    <cellStyle name="s_East Coast (2)_2_Pasta2" xfId="3259" xr:uid="{00000000-0005-0000-0000-000062140000}"/>
    <cellStyle name="s_East Coast (2)_Comparativo VP FIN v1_So 2008" xfId="7959" xr:uid="{00000000-0005-0000-0000-000063140000}"/>
    <cellStyle name="s_East Coast (2)_Comparativo VP MKT 2008 v1_So 2008" xfId="7960" xr:uid="{00000000-0005-0000-0000-000064140000}"/>
    <cellStyle name="s_East Coast (2)_Comparativo VP TEC 2008 v1_So 2008" xfId="7961" xr:uid="{00000000-0005-0000-0000-000065140000}"/>
    <cellStyle name="s_East Coast (2)_Comparativo VP TEC 2008_Luiz Sergio" xfId="7962" xr:uid="{00000000-0005-0000-0000-000066140000}"/>
    <cellStyle name="s_East Coast (2)_Cópia de Modelo - Fluxo de Caixa Orcamento 09052009_V36_3" xfId="3260" xr:uid="{00000000-0005-0000-0000-000067140000}"/>
    <cellStyle name="s_East Coast (2)_Fluxo de Caixa Orcamento FINAL_13052009" xfId="3261" xr:uid="{00000000-0005-0000-0000-000068140000}"/>
    <cellStyle name="s_East Coast (2)_FM_dummyV4" xfId="3262" xr:uid="{00000000-0005-0000-0000-000069140000}"/>
    <cellStyle name="s_East Coast (2)_lalur" xfId="3263" xr:uid="{00000000-0005-0000-0000-00006A140000}"/>
    <cellStyle name="s_East Coast (2)_Leasing_V3" xfId="3264" xr:uid="{00000000-0005-0000-0000-00006B140000}"/>
    <cellStyle name="s_East Coast (2)_MODELO PDP III" xfId="3265" xr:uid="{00000000-0005-0000-0000-00006C140000}"/>
    <cellStyle name="s_East Coast (2)_ORÇ_2009" xfId="3266" xr:uid="{00000000-0005-0000-0000-00006D140000}"/>
    <cellStyle name="s_East Coast (2)_Pasta2" xfId="3267" xr:uid="{00000000-0005-0000-0000-00006E140000}"/>
    <cellStyle name="s_Fin Graph" xfId="3268" xr:uid="{00000000-0005-0000-0000-00006F140000}"/>
    <cellStyle name="s_Fin Graph_1" xfId="3269" xr:uid="{00000000-0005-0000-0000-000070140000}"/>
    <cellStyle name="s_Fin Graph_1_Comparativo VP FIN v1_So 2008" xfId="7963" xr:uid="{00000000-0005-0000-0000-000071140000}"/>
    <cellStyle name="s_Fin Graph_1_Comparativo VP MKT 2008 v1_So 2008" xfId="7964" xr:uid="{00000000-0005-0000-0000-000072140000}"/>
    <cellStyle name="s_Fin Graph_1_Comparativo VP TEC 2008 v1_So 2008" xfId="7965" xr:uid="{00000000-0005-0000-0000-000073140000}"/>
    <cellStyle name="s_Fin Graph_1_Comparativo VP TEC 2008_Luiz Sergio" xfId="7966" xr:uid="{00000000-0005-0000-0000-000074140000}"/>
    <cellStyle name="s_Fin Graph_1_Cópia de Modelo - Fluxo de Caixa Orcamento 09052009_V36_3" xfId="3270" xr:uid="{00000000-0005-0000-0000-000075140000}"/>
    <cellStyle name="s_Fin Graph_1_Fluxo de Caixa Orcamento FINAL_13052009" xfId="3271" xr:uid="{00000000-0005-0000-0000-000076140000}"/>
    <cellStyle name="s_Fin Graph_1_FM_dummyV4" xfId="3272" xr:uid="{00000000-0005-0000-0000-000077140000}"/>
    <cellStyle name="s_Fin Graph_1_lalur" xfId="3273" xr:uid="{00000000-0005-0000-0000-000078140000}"/>
    <cellStyle name="s_Fin Graph_1_Leasing_V3" xfId="3274" xr:uid="{00000000-0005-0000-0000-000079140000}"/>
    <cellStyle name="s_Fin Graph_1_MODELO PDP III" xfId="3275" xr:uid="{00000000-0005-0000-0000-00007A140000}"/>
    <cellStyle name="s_Fin Graph_1_ORÇ_2009" xfId="3276" xr:uid="{00000000-0005-0000-0000-00007B140000}"/>
    <cellStyle name="s_Fin Graph_1_Pasta2" xfId="3277" xr:uid="{00000000-0005-0000-0000-00007C140000}"/>
    <cellStyle name="s_Fin Graph_2" xfId="3278" xr:uid="{00000000-0005-0000-0000-00007D140000}"/>
    <cellStyle name="s_Fin Graph_2_Comparativo VP FIN v1_So 2008" xfId="7967" xr:uid="{00000000-0005-0000-0000-00007E140000}"/>
    <cellStyle name="s_Fin Graph_2_Comparativo VP MKT 2008 v1_So 2008" xfId="7968" xr:uid="{00000000-0005-0000-0000-00007F140000}"/>
    <cellStyle name="s_Fin Graph_2_Comparativo VP TEC 2008 v1_So 2008" xfId="7969" xr:uid="{00000000-0005-0000-0000-000080140000}"/>
    <cellStyle name="s_Fin Graph_2_Comparativo VP TEC 2008_Luiz Sergio" xfId="7970" xr:uid="{00000000-0005-0000-0000-000081140000}"/>
    <cellStyle name="s_Fin Graph_2_Cópia de Modelo - Fluxo de Caixa Orcamento 09052009_V36_3" xfId="3279" xr:uid="{00000000-0005-0000-0000-000082140000}"/>
    <cellStyle name="s_Fin Graph_2_Fluxo de Caixa Orcamento FINAL_13052009" xfId="3280" xr:uid="{00000000-0005-0000-0000-000083140000}"/>
    <cellStyle name="s_Fin Graph_2_FM_dummyV4" xfId="3281" xr:uid="{00000000-0005-0000-0000-000084140000}"/>
    <cellStyle name="s_Fin Graph_2_lalur" xfId="3282" xr:uid="{00000000-0005-0000-0000-000085140000}"/>
    <cellStyle name="s_Fin Graph_2_Leasing_V3" xfId="3283" xr:uid="{00000000-0005-0000-0000-000086140000}"/>
    <cellStyle name="s_Fin Graph_2_MODELO PDP III" xfId="3284" xr:uid="{00000000-0005-0000-0000-000087140000}"/>
    <cellStyle name="s_Fin Graph_2_ORÇ_2009" xfId="3285" xr:uid="{00000000-0005-0000-0000-000088140000}"/>
    <cellStyle name="s_Fin Graph_2_Pasta2" xfId="3286" xr:uid="{00000000-0005-0000-0000-000089140000}"/>
    <cellStyle name="s_Fin Graph_Comparativo VP FIN v1_So 2008" xfId="7971" xr:uid="{00000000-0005-0000-0000-00008A140000}"/>
    <cellStyle name="s_Fin Graph_Comparativo VP MKT 2008 v1_So 2008" xfId="7972" xr:uid="{00000000-0005-0000-0000-00008B140000}"/>
    <cellStyle name="s_Fin Graph_Comparativo VP TEC 2008 v1_So 2008" xfId="7973" xr:uid="{00000000-0005-0000-0000-00008C140000}"/>
    <cellStyle name="s_Fin Graph_Comparativo VP TEC 2008_Luiz Sergio" xfId="7974" xr:uid="{00000000-0005-0000-0000-00008D140000}"/>
    <cellStyle name="s_Fin Graph_Cópia de Modelo - Fluxo de Caixa Orcamento 09052009_V36_3" xfId="3287" xr:uid="{00000000-0005-0000-0000-00008E140000}"/>
    <cellStyle name="s_Fin Graph_Fluxo de Caixa Orcamento FINAL_13052009" xfId="3288" xr:uid="{00000000-0005-0000-0000-00008F140000}"/>
    <cellStyle name="s_Fin Graph_FM_dummyV4" xfId="3289" xr:uid="{00000000-0005-0000-0000-000090140000}"/>
    <cellStyle name="s_Fin Graph_lalur" xfId="3290" xr:uid="{00000000-0005-0000-0000-000091140000}"/>
    <cellStyle name="s_Fin Graph_Leasing_V3" xfId="3291" xr:uid="{00000000-0005-0000-0000-000092140000}"/>
    <cellStyle name="s_Fin Graph_MODELO PDP III" xfId="3292" xr:uid="{00000000-0005-0000-0000-000093140000}"/>
    <cellStyle name="s_Fin Graph_ORÇ_2009" xfId="3293" xr:uid="{00000000-0005-0000-0000-000094140000}"/>
    <cellStyle name="s_Fin Graph_Pasta2" xfId="3294" xr:uid="{00000000-0005-0000-0000-000095140000}"/>
    <cellStyle name="s_Financials_B" xfId="3295" xr:uid="{00000000-0005-0000-0000-000096140000}"/>
    <cellStyle name="s_Financials_B_Comparativo VP FIN v1_So 2008" xfId="7975" xr:uid="{00000000-0005-0000-0000-000097140000}"/>
    <cellStyle name="s_Financials_B_Comparativo VP MKT 2008 v1_So 2008" xfId="7976" xr:uid="{00000000-0005-0000-0000-000098140000}"/>
    <cellStyle name="s_Financials_B_Comparativo VP TEC 2008 v1_So 2008" xfId="7977" xr:uid="{00000000-0005-0000-0000-000099140000}"/>
    <cellStyle name="s_Financials_B_Comparativo VP TEC 2008_Luiz Sergio" xfId="7978" xr:uid="{00000000-0005-0000-0000-00009A140000}"/>
    <cellStyle name="s_Financials_B_Cópia de Modelo - Fluxo de Caixa Orcamento 09052009_V36_3" xfId="3296" xr:uid="{00000000-0005-0000-0000-00009B140000}"/>
    <cellStyle name="s_Financials_B_Fluxo de Caixa Orcamento FINAL_13052009" xfId="3297" xr:uid="{00000000-0005-0000-0000-00009C140000}"/>
    <cellStyle name="s_Financials_B_FM_dummyV4" xfId="3298" xr:uid="{00000000-0005-0000-0000-00009D140000}"/>
    <cellStyle name="s_Financials_B_lalur" xfId="3299" xr:uid="{00000000-0005-0000-0000-00009E140000}"/>
    <cellStyle name="s_Financials_B_Leasing_V3" xfId="3300" xr:uid="{00000000-0005-0000-0000-00009F140000}"/>
    <cellStyle name="s_Financials_B_MODELO PDP III" xfId="3301" xr:uid="{00000000-0005-0000-0000-0000A0140000}"/>
    <cellStyle name="s_Financials_B_ORÇ_2009" xfId="3302" xr:uid="{00000000-0005-0000-0000-0000A1140000}"/>
    <cellStyle name="s_Financials_B_Pasta2" xfId="3303" xr:uid="{00000000-0005-0000-0000-0000A2140000}"/>
    <cellStyle name="s_Financials_B_Q2 pipeline" xfId="3304" xr:uid="{00000000-0005-0000-0000-0000A3140000}"/>
    <cellStyle name="s_Financials_B_Q2 pipeline 2" xfId="7979" xr:uid="{00000000-0005-0000-0000-0000A4140000}"/>
    <cellStyle name="s_Financials_B_Q2 pipeline_Cópia de Modelo - Fluxo de Caixa Orcamento 09052009_V36_3" xfId="3305" xr:uid="{00000000-0005-0000-0000-0000A5140000}"/>
    <cellStyle name="s_Financials_B_Q2 pipeline_Cópia de Modelo - Fluxo de Caixa Orcamento 09052009_V36_3 2" xfId="7980" xr:uid="{00000000-0005-0000-0000-0000A6140000}"/>
    <cellStyle name="s_Financials_B_Q2 pipeline_Fluxo de Caixa Orcamento FINAL_13052009" xfId="3306" xr:uid="{00000000-0005-0000-0000-0000A7140000}"/>
    <cellStyle name="s_Financials_B_Q2 pipeline_Fluxo de Caixa Orcamento FINAL_13052009 2" xfId="7981" xr:uid="{00000000-0005-0000-0000-0000A8140000}"/>
    <cellStyle name="s_Financials_B_Q2 pipeline_FM_dummyV4" xfId="3307" xr:uid="{00000000-0005-0000-0000-0000A9140000}"/>
    <cellStyle name="s_Financials_B_Q2 pipeline_lalur" xfId="3308" xr:uid="{00000000-0005-0000-0000-0000AA140000}"/>
    <cellStyle name="s_Financials_B_Q2 pipeline_Leasing_V3" xfId="3309" xr:uid="{00000000-0005-0000-0000-0000AB140000}"/>
    <cellStyle name="s_Financials_B_Q2 pipeline_MODELO PDP III" xfId="3310" xr:uid="{00000000-0005-0000-0000-0000AC140000}"/>
    <cellStyle name="s_Financials_B_Q2 pipeline_ORÇ_2009" xfId="3311" xr:uid="{00000000-0005-0000-0000-0000AD140000}"/>
    <cellStyle name="s_Financials_B_Q2 pipeline_ORÇ_2009 2" xfId="7982" xr:uid="{00000000-0005-0000-0000-0000AE140000}"/>
    <cellStyle name="s_Financials_B_Q2 pipeline_Pasta2" xfId="3312" xr:uid="{00000000-0005-0000-0000-0000AF140000}"/>
    <cellStyle name="s_Financials_B_Q2 pipeline_Pasta2 2" xfId="7983" xr:uid="{00000000-0005-0000-0000-0000B0140000}"/>
    <cellStyle name="s_Financials_T" xfId="3313" xr:uid="{00000000-0005-0000-0000-0000B1140000}"/>
    <cellStyle name="s_Financials_T_Comparativo VP FIN v1_So 2008" xfId="7984" xr:uid="{00000000-0005-0000-0000-0000B2140000}"/>
    <cellStyle name="s_Financials_T_Comparativo VP MKT 2008 v1_So 2008" xfId="7985" xr:uid="{00000000-0005-0000-0000-0000B3140000}"/>
    <cellStyle name="s_Financials_T_Comparativo VP TEC 2008 v1_So 2008" xfId="7986" xr:uid="{00000000-0005-0000-0000-0000B4140000}"/>
    <cellStyle name="s_Financials_T_Comparativo VP TEC 2008_Luiz Sergio" xfId="7987" xr:uid="{00000000-0005-0000-0000-0000B5140000}"/>
    <cellStyle name="s_Financials_T_Cópia de Modelo - Fluxo de Caixa Orcamento 09052009_V36_3" xfId="3314" xr:uid="{00000000-0005-0000-0000-0000B6140000}"/>
    <cellStyle name="s_Financials_T_Fluxo de Caixa Orcamento FINAL_13052009" xfId="3315" xr:uid="{00000000-0005-0000-0000-0000B7140000}"/>
    <cellStyle name="s_Financials_T_FM_dummyV4" xfId="3316" xr:uid="{00000000-0005-0000-0000-0000B8140000}"/>
    <cellStyle name="s_Financials_T_lalur" xfId="3317" xr:uid="{00000000-0005-0000-0000-0000B9140000}"/>
    <cellStyle name="s_Financials_T_Leasing_V3" xfId="3318" xr:uid="{00000000-0005-0000-0000-0000BA140000}"/>
    <cellStyle name="s_Financials_T_MODELO PDP III" xfId="3319" xr:uid="{00000000-0005-0000-0000-0000BB140000}"/>
    <cellStyle name="s_Financials_T_ORÇ_2009" xfId="3320" xr:uid="{00000000-0005-0000-0000-0000BC140000}"/>
    <cellStyle name="s_Financials_T_Pasta2" xfId="3321" xr:uid="{00000000-0005-0000-0000-0000BD140000}"/>
    <cellStyle name="s_Financials_T_Q2 pipeline" xfId="3322" xr:uid="{00000000-0005-0000-0000-0000BE140000}"/>
    <cellStyle name="s_Financials_T_Q2 pipeline 2" xfId="7988" xr:uid="{00000000-0005-0000-0000-0000BF140000}"/>
    <cellStyle name="s_Financials_T_Q2 pipeline_Cópia de Modelo - Fluxo de Caixa Orcamento 09052009_V36_3" xfId="3323" xr:uid="{00000000-0005-0000-0000-0000C0140000}"/>
    <cellStyle name="s_Financials_T_Q2 pipeline_Cópia de Modelo - Fluxo de Caixa Orcamento 09052009_V36_3 2" xfId="7989" xr:uid="{00000000-0005-0000-0000-0000C1140000}"/>
    <cellStyle name="s_Financials_T_Q2 pipeline_Fluxo de Caixa Orcamento FINAL_13052009" xfId="3324" xr:uid="{00000000-0005-0000-0000-0000C2140000}"/>
    <cellStyle name="s_Financials_T_Q2 pipeline_Fluxo de Caixa Orcamento FINAL_13052009 2" xfId="7990" xr:uid="{00000000-0005-0000-0000-0000C3140000}"/>
    <cellStyle name="s_Financials_T_Q2 pipeline_FM_dummyV4" xfId="3325" xr:uid="{00000000-0005-0000-0000-0000C4140000}"/>
    <cellStyle name="s_Financials_T_Q2 pipeline_lalur" xfId="3326" xr:uid="{00000000-0005-0000-0000-0000C5140000}"/>
    <cellStyle name="s_Financials_T_Q2 pipeline_Leasing_V3" xfId="3327" xr:uid="{00000000-0005-0000-0000-0000C6140000}"/>
    <cellStyle name="s_Financials_T_Q2 pipeline_MODELO PDP III" xfId="3328" xr:uid="{00000000-0005-0000-0000-0000C7140000}"/>
    <cellStyle name="s_Financials_T_Q2 pipeline_ORÇ_2009" xfId="3329" xr:uid="{00000000-0005-0000-0000-0000C8140000}"/>
    <cellStyle name="s_Financials_T_Q2 pipeline_ORÇ_2009 2" xfId="7991" xr:uid="{00000000-0005-0000-0000-0000C9140000}"/>
    <cellStyle name="s_Financials_T_Q2 pipeline_Pasta2" xfId="3330" xr:uid="{00000000-0005-0000-0000-0000CA140000}"/>
    <cellStyle name="s_Financials_T_Q2 pipeline_Pasta2 2" xfId="7992" xr:uid="{00000000-0005-0000-0000-0000CB140000}"/>
    <cellStyle name="s_Florida (2)" xfId="3331" xr:uid="{00000000-0005-0000-0000-0000CC140000}"/>
    <cellStyle name="s_Florida (2)_1" xfId="3332" xr:uid="{00000000-0005-0000-0000-0000CD140000}"/>
    <cellStyle name="s_Florida (2)_1_Comparativo VP FIN v1_So 2008" xfId="7993" xr:uid="{00000000-0005-0000-0000-0000CE140000}"/>
    <cellStyle name="s_Florida (2)_1_Comparativo VP MKT 2008 v1_So 2008" xfId="7994" xr:uid="{00000000-0005-0000-0000-0000CF140000}"/>
    <cellStyle name="s_Florida (2)_1_Comparativo VP TEC 2008 v1_So 2008" xfId="7995" xr:uid="{00000000-0005-0000-0000-0000D0140000}"/>
    <cellStyle name="s_Florida (2)_1_Comparativo VP TEC 2008_Luiz Sergio" xfId="7996" xr:uid="{00000000-0005-0000-0000-0000D1140000}"/>
    <cellStyle name="s_Florida (2)_1_Cópia de Modelo - Fluxo de Caixa Orcamento 09052009_V36_3" xfId="3333" xr:uid="{00000000-0005-0000-0000-0000D2140000}"/>
    <cellStyle name="s_Florida (2)_1_Fluxo de Caixa Orcamento FINAL_13052009" xfId="3334" xr:uid="{00000000-0005-0000-0000-0000D3140000}"/>
    <cellStyle name="s_Florida (2)_1_FM_dummyV4" xfId="3335" xr:uid="{00000000-0005-0000-0000-0000D4140000}"/>
    <cellStyle name="s_Florida (2)_1_lalur" xfId="3336" xr:uid="{00000000-0005-0000-0000-0000D5140000}"/>
    <cellStyle name="s_Florida (2)_1_Leasing_V3" xfId="3337" xr:uid="{00000000-0005-0000-0000-0000D6140000}"/>
    <cellStyle name="s_Florida (2)_1_MODELO PDP III" xfId="3338" xr:uid="{00000000-0005-0000-0000-0000D7140000}"/>
    <cellStyle name="s_Florida (2)_1_ORÇ_2009" xfId="3339" xr:uid="{00000000-0005-0000-0000-0000D8140000}"/>
    <cellStyle name="s_Florida (2)_1_Pasta2" xfId="3340" xr:uid="{00000000-0005-0000-0000-0000D9140000}"/>
    <cellStyle name="s_Florida (2)_2" xfId="3341" xr:uid="{00000000-0005-0000-0000-0000DA140000}"/>
    <cellStyle name="s_Florida (2)_2_Comparativo VP FIN v1_So 2008" xfId="7997" xr:uid="{00000000-0005-0000-0000-0000DB140000}"/>
    <cellStyle name="s_Florida (2)_2_Comparativo VP MKT 2008 v1_So 2008" xfId="7998" xr:uid="{00000000-0005-0000-0000-0000DC140000}"/>
    <cellStyle name="s_Florida (2)_2_Comparativo VP TEC 2008 v1_So 2008" xfId="7999" xr:uid="{00000000-0005-0000-0000-0000DD140000}"/>
    <cellStyle name="s_Florida (2)_2_Comparativo VP TEC 2008_Luiz Sergio" xfId="8000" xr:uid="{00000000-0005-0000-0000-0000DE140000}"/>
    <cellStyle name="s_Florida (2)_2_Cópia de Modelo - Fluxo de Caixa Orcamento 09052009_V36_3" xfId="3342" xr:uid="{00000000-0005-0000-0000-0000DF140000}"/>
    <cellStyle name="s_Florida (2)_2_Fluxo de Caixa Orcamento FINAL_13052009" xfId="3343" xr:uid="{00000000-0005-0000-0000-0000E0140000}"/>
    <cellStyle name="s_Florida (2)_2_FM_dummyV4" xfId="3344" xr:uid="{00000000-0005-0000-0000-0000E1140000}"/>
    <cellStyle name="s_Florida (2)_2_lalur" xfId="3345" xr:uid="{00000000-0005-0000-0000-0000E2140000}"/>
    <cellStyle name="s_Florida (2)_2_Leasing_V3" xfId="3346" xr:uid="{00000000-0005-0000-0000-0000E3140000}"/>
    <cellStyle name="s_Florida (2)_2_MODELO PDP III" xfId="3347" xr:uid="{00000000-0005-0000-0000-0000E4140000}"/>
    <cellStyle name="s_Florida (2)_2_ORÇ_2009" xfId="3348" xr:uid="{00000000-0005-0000-0000-0000E5140000}"/>
    <cellStyle name="s_Florida (2)_2_Pasta2" xfId="3349" xr:uid="{00000000-0005-0000-0000-0000E6140000}"/>
    <cellStyle name="s_Florida (2)_Comparativo VP FIN v1_So 2008" xfId="8001" xr:uid="{00000000-0005-0000-0000-0000E7140000}"/>
    <cellStyle name="s_Florida (2)_Comparativo VP MKT 2008 v1_So 2008" xfId="8002" xr:uid="{00000000-0005-0000-0000-0000E8140000}"/>
    <cellStyle name="s_Florida (2)_Comparativo VP TEC 2008 v1_So 2008" xfId="8003" xr:uid="{00000000-0005-0000-0000-0000E9140000}"/>
    <cellStyle name="s_Florida (2)_Comparativo VP TEC 2008_Luiz Sergio" xfId="8004" xr:uid="{00000000-0005-0000-0000-0000EA140000}"/>
    <cellStyle name="s_Florida (2)_Cópia de Modelo - Fluxo de Caixa Orcamento 09052009_V36_3" xfId="3350" xr:uid="{00000000-0005-0000-0000-0000EB140000}"/>
    <cellStyle name="s_Florida (2)_Fluxo de Caixa Orcamento FINAL_13052009" xfId="3351" xr:uid="{00000000-0005-0000-0000-0000EC140000}"/>
    <cellStyle name="s_Florida (2)_FM_dummyV4" xfId="3352" xr:uid="{00000000-0005-0000-0000-0000ED140000}"/>
    <cellStyle name="s_Florida (2)_lalur" xfId="3353" xr:uid="{00000000-0005-0000-0000-0000EE140000}"/>
    <cellStyle name="s_Florida (2)_Leasing_V3" xfId="3354" xr:uid="{00000000-0005-0000-0000-0000EF140000}"/>
    <cellStyle name="s_Florida (2)_MODELO PDP III" xfId="3355" xr:uid="{00000000-0005-0000-0000-0000F0140000}"/>
    <cellStyle name="s_Florida (2)_ORÇ_2009" xfId="3356" xr:uid="{00000000-0005-0000-0000-0000F1140000}"/>
    <cellStyle name="s_Florida (2)_Pasta2" xfId="3357" xr:uid="{00000000-0005-0000-0000-0000F2140000}"/>
    <cellStyle name="s_Fluxo de Caixa Orcamento FINAL_13052009" xfId="3358" xr:uid="{00000000-0005-0000-0000-0000F3140000}"/>
    <cellStyle name="s_FM_dummyV4" xfId="3359" xr:uid="{00000000-0005-0000-0000-0000F4140000}"/>
    <cellStyle name="s_G" xfId="3360" xr:uid="{00000000-0005-0000-0000-0000F5140000}"/>
    <cellStyle name="s_G_1" xfId="3361" xr:uid="{00000000-0005-0000-0000-0000F6140000}"/>
    <cellStyle name="s_G_1_Comparativo VP FIN v1_So 2008" xfId="8005" xr:uid="{00000000-0005-0000-0000-0000F7140000}"/>
    <cellStyle name="s_G_1_Comparativo VP MKT 2008 v1_So 2008" xfId="8006" xr:uid="{00000000-0005-0000-0000-0000F8140000}"/>
    <cellStyle name="s_G_1_Comparativo VP TEC 2008 v1_So 2008" xfId="8007" xr:uid="{00000000-0005-0000-0000-0000F9140000}"/>
    <cellStyle name="s_G_1_Comparativo VP TEC 2008_Luiz Sergio" xfId="8008" xr:uid="{00000000-0005-0000-0000-0000FA140000}"/>
    <cellStyle name="s_G_1_Cópia de Modelo - Fluxo de Caixa Orcamento 09052009_V36_3" xfId="3362" xr:uid="{00000000-0005-0000-0000-0000FB140000}"/>
    <cellStyle name="s_G_1_Fluxo de Caixa Orcamento FINAL_13052009" xfId="3363" xr:uid="{00000000-0005-0000-0000-0000FC140000}"/>
    <cellStyle name="s_G_1_FM_dummyV4" xfId="3364" xr:uid="{00000000-0005-0000-0000-0000FD140000}"/>
    <cellStyle name="s_G_1_lalur" xfId="3365" xr:uid="{00000000-0005-0000-0000-0000FE140000}"/>
    <cellStyle name="s_G_1_Leasing_V3" xfId="3366" xr:uid="{00000000-0005-0000-0000-0000FF140000}"/>
    <cellStyle name="s_G_1_MODELO PDP III" xfId="3367" xr:uid="{00000000-0005-0000-0000-000000150000}"/>
    <cellStyle name="s_G_1_ORÇ_2009" xfId="3368" xr:uid="{00000000-0005-0000-0000-000001150000}"/>
    <cellStyle name="s_G_1_Pasta2" xfId="3369" xr:uid="{00000000-0005-0000-0000-000002150000}"/>
    <cellStyle name="s_G_Comparativo VP FIN v1_So 2008" xfId="8009" xr:uid="{00000000-0005-0000-0000-000003150000}"/>
    <cellStyle name="s_G_Comparativo VP MKT 2008 v1_So 2008" xfId="8010" xr:uid="{00000000-0005-0000-0000-000004150000}"/>
    <cellStyle name="s_G_Comparativo VP TEC 2008 v1_So 2008" xfId="8011" xr:uid="{00000000-0005-0000-0000-000005150000}"/>
    <cellStyle name="s_G_Comparativo VP TEC 2008_Luiz Sergio" xfId="8012" xr:uid="{00000000-0005-0000-0000-000006150000}"/>
    <cellStyle name="s_G_Cópia de Modelo - Fluxo de Caixa Orcamento 09052009_V36_3" xfId="3370" xr:uid="{00000000-0005-0000-0000-000007150000}"/>
    <cellStyle name="s_G_Fluxo de Caixa Orcamento FINAL_13052009" xfId="3371" xr:uid="{00000000-0005-0000-0000-000008150000}"/>
    <cellStyle name="s_G_FM_dummyV4" xfId="3372" xr:uid="{00000000-0005-0000-0000-000009150000}"/>
    <cellStyle name="s_G_lalur" xfId="3373" xr:uid="{00000000-0005-0000-0000-00000A150000}"/>
    <cellStyle name="s_G_Leasing_V3" xfId="3374" xr:uid="{00000000-0005-0000-0000-00000B150000}"/>
    <cellStyle name="s_G_MODELO PDP III" xfId="3375" xr:uid="{00000000-0005-0000-0000-00000C150000}"/>
    <cellStyle name="s_G_ORÇ_2009" xfId="3376" xr:uid="{00000000-0005-0000-0000-00000D150000}"/>
    <cellStyle name="s_G_Pasta2" xfId="3377" xr:uid="{00000000-0005-0000-0000-00000E150000}"/>
    <cellStyle name="s_Georgia (2)" xfId="3378" xr:uid="{00000000-0005-0000-0000-00000F150000}"/>
    <cellStyle name="s_Georgia (2)_1" xfId="3379" xr:uid="{00000000-0005-0000-0000-000010150000}"/>
    <cellStyle name="s_Georgia (2)_1_Comparativo VP FIN v1_So 2008" xfId="8013" xr:uid="{00000000-0005-0000-0000-000011150000}"/>
    <cellStyle name="s_Georgia (2)_1_Comparativo VP MKT 2008 v1_So 2008" xfId="8014" xr:uid="{00000000-0005-0000-0000-000012150000}"/>
    <cellStyle name="s_Georgia (2)_1_Comparativo VP TEC 2008 v1_So 2008" xfId="8015" xr:uid="{00000000-0005-0000-0000-000013150000}"/>
    <cellStyle name="s_Georgia (2)_1_Comparativo VP TEC 2008_Luiz Sergio" xfId="8016" xr:uid="{00000000-0005-0000-0000-000014150000}"/>
    <cellStyle name="s_Georgia (2)_1_Cópia de Modelo - Fluxo de Caixa Orcamento 09052009_V36_3" xfId="3380" xr:uid="{00000000-0005-0000-0000-000015150000}"/>
    <cellStyle name="s_Georgia (2)_1_Fluxo de Caixa Orcamento FINAL_13052009" xfId="3381" xr:uid="{00000000-0005-0000-0000-000016150000}"/>
    <cellStyle name="s_Georgia (2)_1_FM_dummyV4" xfId="3382" xr:uid="{00000000-0005-0000-0000-000017150000}"/>
    <cellStyle name="s_Georgia (2)_1_lalur" xfId="3383" xr:uid="{00000000-0005-0000-0000-000018150000}"/>
    <cellStyle name="s_Georgia (2)_1_Leasing_V3" xfId="3384" xr:uid="{00000000-0005-0000-0000-000019150000}"/>
    <cellStyle name="s_Georgia (2)_1_MODELO PDP III" xfId="3385" xr:uid="{00000000-0005-0000-0000-00001A150000}"/>
    <cellStyle name="s_Georgia (2)_1_ORÇ_2009" xfId="3386" xr:uid="{00000000-0005-0000-0000-00001B150000}"/>
    <cellStyle name="s_Georgia (2)_1_Pasta2" xfId="3387" xr:uid="{00000000-0005-0000-0000-00001C150000}"/>
    <cellStyle name="s_Georgia (2)_Comparativo VP FIN v1_So 2008" xfId="8017" xr:uid="{00000000-0005-0000-0000-00001D150000}"/>
    <cellStyle name="s_Georgia (2)_Comparativo VP MKT 2008 v1_So 2008" xfId="8018" xr:uid="{00000000-0005-0000-0000-00001E150000}"/>
    <cellStyle name="s_Georgia (2)_Comparativo VP TEC 2008 v1_So 2008" xfId="8019" xr:uid="{00000000-0005-0000-0000-00001F150000}"/>
    <cellStyle name="s_Georgia (2)_Comparativo VP TEC 2008_Luiz Sergio" xfId="8020" xr:uid="{00000000-0005-0000-0000-000020150000}"/>
    <cellStyle name="s_Georgia (2)_Cópia de Modelo - Fluxo de Caixa Orcamento 09052009_V36_3" xfId="3388" xr:uid="{00000000-0005-0000-0000-000021150000}"/>
    <cellStyle name="s_Georgia (2)_Fluxo de Caixa Orcamento FINAL_13052009" xfId="3389" xr:uid="{00000000-0005-0000-0000-000022150000}"/>
    <cellStyle name="s_Georgia (2)_FM_dummyV4" xfId="3390" xr:uid="{00000000-0005-0000-0000-000023150000}"/>
    <cellStyle name="s_Georgia (2)_lalur" xfId="3391" xr:uid="{00000000-0005-0000-0000-000024150000}"/>
    <cellStyle name="s_Georgia (2)_Leasing_V3" xfId="3392" xr:uid="{00000000-0005-0000-0000-000025150000}"/>
    <cellStyle name="s_Georgia (2)_MODELO PDP III" xfId="3393" xr:uid="{00000000-0005-0000-0000-000026150000}"/>
    <cellStyle name="s_Georgia (2)_ORÇ_2009" xfId="3394" xr:uid="{00000000-0005-0000-0000-000027150000}"/>
    <cellStyle name="s_Georgia (2)_Pasta2" xfId="3395" xr:uid="{00000000-0005-0000-0000-000028150000}"/>
    <cellStyle name="s_Hard Rock" xfId="3396" xr:uid="{00000000-0005-0000-0000-000029150000}"/>
    <cellStyle name="s_Hard Rock (2)" xfId="3397" xr:uid="{00000000-0005-0000-0000-00002A150000}"/>
    <cellStyle name="s_Hard Rock (2)_1" xfId="3398" xr:uid="{00000000-0005-0000-0000-00002B150000}"/>
    <cellStyle name="s_Hard Rock (2)_1_Comparativo VP FIN v1_So 2008" xfId="8021" xr:uid="{00000000-0005-0000-0000-00002C150000}"/>
    <cellStyle name="s_Hard Rock (2)_1_Comparativo VP MKT 2008 v1_So 2008" xfId="8022" xr:uid="{00000000-0005-0000-0000-00002D150000}"/>
    <cellStyle name="s_Hard Rock (2)_1_Comparativo VP TEC 2008 v1_So 2008" xfId="8023" xr:uid="{00000000-0005-0000-0000-00002E150000}"/>
    <cellStyle name="s_Hard Rock (2)_1_Comparativo VP TEC 2008_Luiz Sergio" xfId="8024" xr:uid="{00000000-0005-0000-0000-00002F150000}"/>
    <cellStyle name="s_Hard Rock (2)_1_Cópia de Modelo - Fluxo de Caixa Orcamento 09052009_V36_3" xfId="3399" xr:uid="{00000000-0005-0000-0000-000030150000}"/>
    <cellStyle name="s_Hard Rock (2)_1_Fluxo de Caixa Orcamento FINAL_13052009" xfId="3400" xr:uid="{00000000-0005-0000-0000-000031150000}"/>
    <cellStyle name="s_Hard Rock (2)_1_FM_dummyV4" xfId="3401" xr:uid="{00000000-0005-0000-0000-000032150000}"/>
    <cellStyle name="s_Hard Rock (2)_1_lalur" xfId="3402" xr:uid="{00000000-0005-0000-0000-000033150000}"/>
    <cellStyle name="s_Hard Rock (2)_1_Leasing_V3" xfId="3403" xr:uid="{00000000-0005-0000-0000-000034150000}"/>
    <cellStyle name="s_Hard Rock (2)_1_MODELO PDP III" xfId="3404" xr:uid="{00000000-0005-0000-0000-000035150000}"/>
    <cellStyle name="s_Hard Rock (2)_1_ORÇ_2009" xfId="3405" xr:uid="{00000000-0005-0000-0000-000036150000}"/>
    <cellStyle name="s_Hard Rock (2)_1_Pasta2" xfId="3406" xr:uid="{00000000-0005-0000-0000-000037150000}"/>
    <cellStyle name="s_Hard Rock (2)_Celtic DCF" xfId="3407" xr:uid="{00000000-0005-0000-0000-000038150000}"/>
    <cellStyle name="s_Hard Rock (2)_Celtic DCF Inputs" xfId="3408" xr:uid="{00000000-0005-0000-0000-000039150000}"/>
    <cellStyle name="s_Hard Rock (2)_Celtic DCF Inputs_Comparativo VP FIN v1_So 2008" xfId="8025" xr:uid="{00000000-0005-0000-0000-00003A150000}"/>
    <cellStyle name="s_Hard Rock (2)_Celtic DCF Inputs_Comparativo VP MKT 2008 v1_So 2008" xfId="8026" xr:uid="{00000000-0005-0000-0000-00003B150000}"/>
    <cellStyle name="s_Hard Rock (2)_Celtic DCF Inputs_Comparativo VP TEC 2008 v1_So 2008" xfId="8027" xr:uid="{00000000-0005-0000-0000-00003C150000}"/>
    <cellStyle name="s_Hard Rock (2)_Celtic DCF Inputs_Comparativo VP TEC 2008_Luiz Sergio" xfId="8028" xr:uid="{00000000-0005-0000-0000-00003D150000}"/>
    <cellStyle name="s_Hard Rock (2)_Celtic DCF Inputs_Cópia de Modelo - Fluxo de Caixa Orcamento 09052009_V36_3" xfId="3409" xr:uid="{00000000-0005-0000-0000-00003E150000}"/>
    <cellStyle name="s_Hard Rock (2)_Celtic DCF Inputs_Fluxo de Caixa Orcamento FINAL_13052009" xfId="3410" xr:uid="{00000000-0005-0000-0000-00003F150000}"/>
    <cellStyle name="s_Hard Rock (2)_Celtic DCF Inputs_FM_dummyV4" xfId="3411" xr:uid="{00000000-0005-0000-0000-000040150000}"/>
    <cellStyle name="s_Hard Rock (2)_Celtic DCF Inputs_lalur" xfId="3412" xr:uid="{00000000-0005-0000-0000-000041150000}"/>
    <cellStyle name="s_Hard Rock (2)_Celtic DCF Inputs_Leasing_V3" xfId="3413" xr:uid="{00000000-0005-0000-0000-000042150000}"/>
    <cellStyle name="s_Hard Rock (2)_Celtic DCF Inputs_MODELO PDP III" xfId="3414" xr:uid="{00000000-0005-0000-0000-000043150000}"/>
    <cellStyle name="s_Hard Rock (2)_Celtic DCF Inputs_ORÇ_2009" xfId="3415" xr:uid="{00000000-0005-0000-0000-000044150000}"/>
    <cellStyle name="s_Hard Rock (2)_Celtic DCF Inputs_Pasta2" xfId="3416" xr:uid="{00000000-0005-0000-0000-000045150000}"/>
    <cellStyle name="s_Hard Rock (2)_Celtic DCF_Comparativo VP FIN v1_So 2008" xfId="8029" xr:uid="{00000000-0005-0000-0000-000046150000}"/>
    <cellStyle name="s_Hard Rock (2)_Celtic DCF_Comparativo VP MKT 2008 v1_So 2008" xfId="8030" xr:uid="{00000000-0005-0000-0000-000047150000}"/>
    <cellStyle name="s_Hard Rock (2)_Celtic DCF_Comparativo VP TEC 2008 v1_So 2008" xfId="8031" xr:uid="{00000000-0005-0000-0000-000048150000}"/>
    <cellStyle name="s_Hard Rock (2)_Celtic DCF_Comparativo VP TEC 2008_Luiz Sergio" xfId="8032" xr:uid="{00000000-0005-0000-0000-000049150000}"/>
    <cellStyle name="s_Hard Rock (2)_Celtic DCF_Cópia de Modelo - Fluxo de Caixa Orcamento 09052009_V36_3" xfId="3417" xr:uid="{00000000-0005-0000-0000-00004A150000}"/>
    <cellStyle name="s_Hard Rock (2)_Celtic DCF_Fluxo de Caixa Orcamento FINAL_13052009" xfId="3418" xr:uid="{00000000-0005-0000-0000-00004B150000}"/>
    <cellStyle name="s_Hard Rock (2)_Celtic DCF_FM_dummyV4" xfId="3419" xr:uid="{00000000-0005-0000-0000-00004C150000}"/>
    <cellStyle name="s_Hard Rock (2)_Celtic DCF_lalur" xfId="3420" xr:uid="{00000000-0005-0000-0000-00004D150000}"/>
    <cellStyle name="s_Hard Rock (2)_Celtic DCF_Leasing_V3" xfId="3421" xr:uid="{00000000-0005-0000-0000-00004E150000}"/>
    <cellStyle name="s_Hard Rock (2)_Celtic DCF_MODELO PDP III" xfId="3422" xr:uid="{00000000-0005-0000-0000-00004F150000}"/>
    <cellStyle name="s_Hard Rock (2)_Celtic DCF_ORÇ_2009" xfId="3423" xr:uid="{00000000-0005-0000-0000-000050150000}"/>
    <cellStyle name="s_Hard Rock (2)_Celtic DCF_Pasta2" xfId="3424" xr:uid="{00000000-0005-0000-0000-000051150000}"/>
    <cellStyle name="s_Hard Rock (2)_Comparativo VP FIN v1_So 2008" xfId="8033" xr:uid="{00000000-0005-0000-0000-000052150000}"/>
    <cellStyle name="s_Hard Rock (2)_Comparativo VP MKT 2008 v1_So 2008" xfId="8034" xr:uid="{00000000-0005-0000-0000-000053150000}"/>
    <cellStyle name="s_Hard Rock (2)_Comparativo VP TEC 2008 v1_So 2008" xfId="8035" xr:uid="{00000000-0005-0000-0000-000054150000}"/>
    <cellStyle name="s_Hard Rock (2)_Comparativo VP TEC 2008_Luiz Sergio" xfId="8036" xr:uid="{00000000-0005-0000-0000-000055150000}"/>
    <cellStyle name="s_Hard Rock (2)_Cópia de Modelo - Fluxo de Caixa Orcamento 09052009_V36_3" xfId="3425" xr:uid="{00000000-0005-0000-0000-000056150000}"/>
    <cellStyle name="s_Hard Rock (2)_Fluxo de Caixa Orcamento FINAL_13052009" xfId="3426" xr:uid="{00000000-0005-0000-0000-000057150000}"/>
    <cellStyle name="s_Hard Rock (2)_FM_dummyV4" xfId="3427" xr:uid="{00000000-0005-0000-0000-000058150000}"/>
    <cellStyle name="s_Hard Rock (2)_lalur" xfId="3428" xr:uid="{00000000-0005-0000-0000-000059150000}"/>
    <cellStyle name="s_Hard Rock (2)_Leasing_V3" xfId="3429" xr:uid="{00000000-0005-0000-0000-00005A150000}"/>
    <cellStyle name="s_Hard Rock (2)_MODELO PDP III" xfId="3430" xr:uid="{00000000-0005-0000-0000-00005B150000}"/>
    <cellStyle name="s_Hard Rock (2)_ORÇ_2009" xfId="3431" xr:uid="{00000000-0005-0000-0000-00005C150000}"/>
    <cellStyle name="s_Hard Rock (2)_Pasta2" xfId="3432" xr:uid="{00000000-0005-0000-0000-00005D150000}"/>
    <cellStyle name="s_Hard Rock (2)_Valuation Summary" xfId="3433" xr:uid="{00000000-0005-0000-0000-00005E150000}"/>
    <cellStyle name="s_Hard Rock (2)_Valuation Summary_Comparativo VP FIN v1_So 2008" xfId="8037" xr:uid="{00000000-0005-0000-0000-00005F150000}"/>
    <cellStyle name="s_Hard Rock (2)_Valuation Summary_Comparativo VP MKT 2008 v1_So 2008" xfId="8038" xr:uid="{00000000-0005-0000-0000-000060150000}"/>
    <cellStyle name="s_Hard Rock (2)_Valuation Summary_Comparativo VP TEC 2008 v1_So 2008" xfId="8039" xr:uid="{00000000-0005-0000-0000-000061150000}"/>
    <cellStyle name="s_Hard Rock (2)_Valuation Summary_Comparativo VP TEC 2008_Luiz Sergio" xfId="8040" xr:uid="{00000000-0005-0000-0000-000062150000}"/>
    <cellStyle name="s_Hard Rock (2)_Valuation Summary_Cópia de Modelo - Fluxo de Caixa Orcamento 09052009_V36_3" xfId="3434" xr:uid="{00000000-0005-0000-0000-000063150000}"/>
    <cellStyle name="s_Hard Rock (2)_Valuation Summary_Fluxo de Caixa Orcamento FINAL_13052009" xfId="3435" xr:uid="{00000000-0005-0000-0000-000064150000}"/>
    <cellStyle name="s_Hard Rock (2)_Valuation Summary_FM_dummyV4" xfId="3436" xr:uid="{00000000-0005-0000-0000-000065150000}"/>
    <cellStyle name="s_Hard Rock (2)_Valuation Summary_lalur" xfId="3437" xr:uid="{00000000-0005-0000-0000-000066150000}"/>
    <cellStyle name="s_Hard Rock (2)_Valuation Summary_Leasing_V3" xfId="3438" xr:uid="{00000000-0005-0000-0000-000067150000}"/>
    <cellStyle name="s_Hard Rock (2)_Valuation Summary_MODELO PDP III" xfId="3439" xr:uid="{00000000-0005-0000-0000-000068150000}"/>
    <cellStyle name="s_Hard Rock (2)_Valuation Summary_ORÇ_2009" xfId="3440" xr:uid="{00000000-0005-0000-0000-000069150000}"/>
    <cellStyle name="s_Hard Rock (2)_Valuation Summary_Pasta2" xfId="3441" xr:uid="{00000000-0005-0000-0000-00006A150000}"/>
    <cellStyle name="s_Hard Rock_1" xfId="3442" xr:uid="{00000000-0005-0000-0000-00006B150000}"/>
    <cellStyle name="s_Hard Rock_1_Celtic DCF" xfId="3443" xr:uid="{00000000-0005-0000-0000-00006C150000}"/>
    <cellStyle name="s_Hard Rock_1_Celtic DCF Inputs" xfId="3444" xr:uid="{00000000-0005-0000-0000-00006D150000}"/>
    <cellStyle name="s_Hard Rock_1_Celtic DCF Inputs_Comparativo VP FIN v1_So 2008" xfId="8041" xr:uid="{00000000-0005-0000-0000-00006E150000}"/>
    <cellStyle name="s_Hard Rock_1_Celtic DCF Inputs_Comparativo VP MKT 2008 v1_So 2008" xfId="8042" xr:uid="{00000000-0005-0000-0000-00006F150000}"/>
    <cellStyle name="s_Hard Rock_1_Celtic DCF Inputs_Comparativo VP TEC 2008 v1_So 2008" xfId="8043" xr:uid="{00000000-0005-0000-0000-000070150000}"/>
    <cellStyle name="s_Hard Rock_1_Celtic DCF Inputs_Comparativo VP TEC 2008_Luiz Sergio" xfId="8044" xr:uid="{00000000-0005-0000-0000-000071150000}"/>
    <cellStyle name="s_Hard Rock_1_Celtic DCF Inputs_Cópia de Modelo - Fluxo de Caixa Orcamento 09052009_V36_3" xfId="3445" xr:uid="{00000000-0005-0000-0000-000072150000}"/>
    <cellStyle name="s_Hard Rock_1_Celtic DCF Inputs_Fluxo de Caixa Orcamento FINAL_13052009" xfId="3446" xr:uid="{00000000-0005-0000-0000-000073150000}"/>
    <cellStyle name="s_Hard Rock_1_Celtic DCF Inputs_FM_dummyV4" xfId="3447" xr:uid="{00000000-0005-0000-0000-000074150000}"/>
    <cellStyle name="s_Hard Rock_1_Celtic DCF Inputs_lalur" xfId="3448" xr:uid="{00000000-0005-0000-0000-000075150000}"/>
    <cellStyle name="s_Hard Rock_1_Celtic DCF Inputs_Leasing_V3" xfId="3449" xr:uid="{00000000-0005-0000-0000-000076150000}"/>
    <cellStyle name="s_Hard Rock_1_Celtic DCF Inputs_MODELO PDP III" xfId="3450" xr:uid="{00000000-0005-0000-0000-000077150000}"/>
    <cellStyle name="s_Hard Rock_1_Celtic DCF Inputs_ORÇ_2009" xfId="3451" xr:uid="{00000000-0005-0000-0000-000078150000}"/>
    <cellStyle name="s_Hard Rock_1_Celtic DCF Inputs_Pasta2" xfId="3452" xr:uid="{00000000-0005-0000-0000-000079150000}"/>
    <cellStyle name="s_Hard Rock_1_Celtic DCF_Comparativo VP FIN v1_So 2008" xfId="8045" xr:uid="{00000000-0005-0000-0000-00007A150000}"/>
    <cellStyle name="s_Hard Rock_1_Celtic DCF_Comparativo VP MKT 2008 v1_So 2008" xfId="8046" xr:uid="{00000000-0005-0000-0000-00007B150000}"/>
    <cellStyle name="s_Hard Rock_1_Celtic DCF_Comparativo VP TEC 2008 v1_So 2008" xfId="8047" xr:uid="{00000000-0005-0000-0000-00007C150000}"/>
    <cellStyle name="s_Hard Rock_1_Celtic DCF_Comparativo VP TEC 2008_Luiz Sergio" xfId="8048" xr:uid="{00000000-0005-0000-0000-00007D150000}"/>
    <cellStyle name="s_Hard Rock_1_Celtic DCF_Cópia de Modelo - Fluxo de Caixa Orcamento 09052009_V36_3" xfId="3453" xr:uid="{00000000-0005-0000-0000-00007E150000}"/>
    <cellStyle name="s_Hard Rock_1_Celtic DCF_Fluxo de Caixa Orcamento FINAL_13052009" xfId="3454" xr:uid="{00000000-0005-0000-0000-00007F150000}"/>
    <cellStyle name="s_Hard Rock_1_Celtic DCF_FM_dummyV4" xfId="3455" xr:uid="{00000000-0005-0000-0000-000080150000}"/>
    <cellStyle name="s_Hard Rock_1_Celtic DCF_lalur" xfId="3456" xr:uid="{00000000-0005-0000-0000-000081150000}"/>
    <cellStyle name="s_Hard Rock_1_Celtic DCF_Leasing_V3" xfId="3457" xr:uid="{00000000-0005-0000-0000-000082150000}"/>
    <cellStyle name="s_Hard Rock_1_Celtic DCF_MODELO PDP III" xfId="3458" xr:uid="{00000000-0005-0000-0000-000083150000}"/>
    <cellStyle name="s_Hard Rock_1_Celtic DCF_ORÇ_2009" xfId="3459" xr:uid="{00000000-0005-0000-0000-000084150000}"/>
    <cellStyle name="s_Hard Rock_1_Celtic DCF_Pasta2" xfId="3460" xr:uid="{00000000-0005-0000-0000-000085150000}"/>
    <cellStyle name="s_Hard Rock_1_Comparativo VP FIN v1_So 2008" xfId="8049" xr:uid="{00000000-0005-0000-0000-000086150000}"/>
    <cellStyle name="s_Hard Rock_1_Comparativo VP MKT 2008 v1_So 2008" xfId="8050" xr:uid="{00000000-0005-0000-0000-000087150000}"/>
    <cellStyle name="s_Hard Rock_1_Comparativo VP TEC 2008 v1_So 2008" xfId="8051" xr:uid="{00000000-0005-0000-0000-000088150000}"/>
    <cellStyle name="s_Hard Rock_1_Comparativo VP TEC 2008_Luiz Sergio" xfId="8052" xr:uid="{00000000-0005-0000-0000-000089150000}"/>
    <cellStyle name="s_Hard Rock_1_Cópia de Modelo - Fluxo de Caixa Orcamento 09052009_V36_3" xfId="3461" xr:uid="{00000000-0005-0000-0000-00008A150000}"/>
    <cellStyle name="s_Hard Rock_1_Fluxo de Caixa Orcamento FINAL_13052009" xfId="3462" xr:uid="{00000000-0005-0000-0000-00008B150000}"/>
    <cellStyle name="s_Hard Rock_1_FM_dummyV4" xfId="3463" xr:uid="{00000000-0005-0000-0000-00008C150000}"/>
    <cellStyle name="s_Hard Rock_1_lalur" xfId="3464" xr:uid="{00000000-0005-0000-0000-00008D150000}"/>
    <cellStyle name="s_Hard Rock_1_Leasing_V3" xfId="3465" xr:uid="{00000000-0005-0000-0000-00008E150000}"/>
    <cellStyle name="s_Hard Rock_1_MODELO PDP III" xfId="3466" xr:uid="{00000000-0005-0000-0000-00008F150000}"/>
    <cellStyle name="s_Hard Rock_1_ORÇ_2009" xfId="3467" xr:uid="{00000000-0005-0000-0000-000090150000}"/>
    <cellStyle name="s_Hard Rock_1_Pasta2" xfId="3468" xr:uid="{00000000-0005-0000-0000-000091150000}"/>
    <cellStyle name="s_Hard Rock_1_Valuation Summary" xfId="3469" xr:uid="{00000000-0005-0000-0000-000092150000}"/>
    <cellStyle name="s_Hard Rock_1_Valuation Summary_Comparativo VP FIN v1_So 2008" xfId="8053" xr:uid="{00000000-0005-0000-0000-000093150000}"/>
    <cellStyle name="s_Hard Rock_1_Valuation Summary_Comparativo VP MKT 2008 v1_So 2008" xfId="8054" xr:uid="{00000000-0005-0000-0000-000094150000}"/>
    <cellStyle name="s_Hard Rock_1_Valuation Summary_Comparativo VP TEC 2008 v1_So 2008" xfId="8055" xr:uid="{00000000-0005-0000-0000-000095150000}"/>
    <cellStyle name="s_Hard Rock_1_Valuation Summary_Comparativo VP TEC 2008_Luiz Sergio" xfId="8056" xr:uid="{00000000-0005-0000-0000-000096150000}"/>
    <cellStyle name="s_Hard Rock_1_Valuation Summary_Cópia de Modelo - Fluxo de Caixa Orcamento 09052009_V36_3" xfId="3470" xr:uid="{00000000-0005-0000-0000-000097150000}"/>
    <cellStyle name="s_Hard Rock_1_Valuation Summary_Fluxo de Caixa Orcamento FINAL_13052009" xfId="3471" xr:uid="{00000000-0005-0000-0000-000098150000}"/>
    <cellStyle name="s_Hard Rock_1_Valuation Summary_FM_dummyV4" xfId="3472" xr:uid="{00000000-0005-0000-0000-000099150000}"/>
    <cellStyle name="s_Hard Rock_1_Valuation Summary_lalur" xfId="3473" xr:uid="{00000000-0005-0000-0000-00009A150000}"/>
    <cellStyle name="s_Hard Rock_1_Valuation Summary_Leasing_V3" xfId="3474" xr:uid="{00000000-0005-0000-0000-00009B150000}"/>
    <cellStyle name="s_Hard Rock_1_Valuation Summary_MODELO PDP III" xfId="3475" xr:uid="{00000000-0005-0000-0000-00009C150000}"/>
    <cellStyle name="s_Hard Rock_1_Valuation Summary_ORÇ_2009" xfId="3476" xr:uid="{00000000-0005-0000-0000-00009D150000}"/>
    <cellStyle name="s_Hard Rock_1_Valuation Summary_Pasta2" xfId="3477" xr:uid="{00000000-0005-0000-0000-00009E150000}"/>
    <cellStyle name="s_Hard Rock_2" xfId="3478" xr:uid="{00000000-0005-0000-0000-00009F150000}"/>
    <cellStyle name="s_Hard Rock_2_Comparativo VP FIN v1_So 2008" xfId="8057" xr:uid="{00000000-0005-0000-0000-0000A0150000}"/>
    <cellStyle name="s_Hard Rock_2_Comparativo VP MKT 2008 v1_So 2008" xfId="8058" xr:uid="{00000000-0005-0000-0000-0000A1150000}"/>
    <cellStyle name="s_Hard Rock_2_Comparativo VP TEC 2008 v1_So 2008" xfId="8059" xr:uid="{00000000-0005-0000-0000-0000A2150000}"/>
    <cellStyle name="s_Hard Rock_2_Comparativo VP TEC 2008_Luiz Sergio" xfId="8060" xr:uid="{00000000-0005-0000-0000-0000A3150000}"/>
    <cellStyle name="s_Hard Rock_2_Cópia de Modelo - Fluxo de Caixa Orcamento 09052009_V36_3" xfId="3479" xr:uid="{00000000-0005-0000-0000-0000A4150000}"/>
    <cellStyle name="s_Hard Rock_2_Fluxo de Caixa Orcamento FINAL_13052009" xfId="3480" xr:uid="{00000000-0005-0000-0000-0000A5150000}"/>
    <cellStyle name="s_Hard Rock_2_FM_dummyV4" xfId="3481" xr:uid="{00000000-0005-0000-0000-0000A6150000}"/>
    <cellStyle name="s_Hard Rock_2_lalur" xfId="3482" xr:uid="{00000000-0005-0000-0000-0000A7150000}"/>
    <cellStyle name="s_Hard Rock_2_Leasing_V3" xfId="3483" xr:uid="{00000000-0005-0000-0000-0000A8150000}"/>
    <cellStyle name="s_Hard Rock_2_MODELO PDP III" xfId="3484" xr:uid="{00000000-0005-0000-0000-0000A9150000}"/>
    <cellStyle name="s_Hard Rock_2_ORÇ_2009" xfId="3485" xr:uid="{00000000-0005-0000-0000-0000AA150000}"/>
    <cellStyle name="s_Hard Rock_2_Pasta2" xfId="3486" xr:uid="{00000000-0005-0000-0000-0000AB150000}"/>
    <cellStyle name="s_Hard Rock_Comparativo VP FIN v1_So 2008" xfId="8061" xr:uid="{00000000-0005-0000-0000-0000AC150000}"/>
    <cellStyle name="s_Hard Rock_Comparativo VP MKT 2008 v1_So 2008" xfId="8062" xr:uid="{00000000-0005-0000-0000-0000AD150000}"/>
    <cellStyle name="s_Hard Rock_Comparativo VP TEC 2008 v1_So 2008" xfId="8063" xr:uid="{00000000-0005-0000-0000-0000AE150000}"/>
    <cellStyle name="s_Hard Rock_Comparativo VP TEC 2008_Luiz Sergio" xfId="8064" xr:uid="{00000000-0005-0000-0000-0000AF150000}"/>
    <cellStyle name="s_Hard Rock_Cópia de Modelo - Fluxo de Caixa Orcamento 09052009_V36_3" xfId="3487" xr:uid="{00000000-0005-0000-0000-0000B0150000}"/>
    <cellStyle name="s_Hard Rock_Fluxo de Caixa Orcamento FINAL_13052009" xfId="3488" xr:uid="{00000000-0005-0000-0000-0000B1150000}"/>
    <cellStyle name="s_Hard Rock_FM_dummyV4" xfId="3489" xr:uid="{00000000-0005-0000-0000-0000B2150000}"/>
    <cellStyle name="s_Hard Rock_lalur" xfId="3490" xr:uid="{00000000-0005-0000-0000-0000B3150000}"/>
    <cellStyle name="s_Hard Rock_Leasing_V3" xfId="3491" xr:uid="{00000000-0005-0000-0000-0000B4150000}"/>
    <cellStyle name="s_Hard Rock_MODELO PDP III" xfId="3492" xr:uid="{00000000-0005-0000-0000-0000B5150000}"/>
    <cellStyle name="s_Hard Rock_ORÇ_2009" xfId="3493" xr:uid="{00000000-0005-0000-0000-0000B6150000}"/>
    <cellStyle name="s_Hard Rock_Pasta2" xfId="3494" xr:uid="{00000000-0005-0000-0000-0000B7150000}"/>
    <cellStyle name="s_HardInc " xfId="3495" xr:uid="{00000000-0005-0000-0000-0000B8150000}"/>
    <cellStyle name="s_HardInc  (2)" xfId="3496" xr:uid="{00000000-0005-0000-0000-0000B9150000}"/>
    <cellStyle name="s_HardInc  (2)_1" xfId="3497" xr:uid="{00000000-0005-0000-0000-0000BA150000}"/>
    <cellStyle name="s_HardInc  (2)_1_Comparativo VP FIN v1_So 2008" xfId="8065" xr:uid="{00000000-0005-0000-0000-0000BB150000}"/>
    <cellStyle name="s_HardInc  (2)_1_Comparativo VP MKT 2008 v1_So 2008" xfId="8066" xr:uid="{00000000-0005-0000-0000-0000BC150000}"/>
    <cellStyle name="s_HardInc  (2)_1_Comparativo VP TEC 2008 v1_So 2008" xfId="8067" xr:uid="{00000000-0005-0000-0000-0000BD150000}"/>
    <cellStyle name="s_HardInc  (2)_1_Comparativo VP TEC 2008_Luiz Sergio" xfId="8068" xr:uid="{00000000-0005-0000-0000-0000BE150000}"/>
    <cellStyle name="s_HardInc  (2)_1_Cópia de Modelo - Fluxo de Caixa Orcamento 09052009_V36_3" xfId="3498" xr:uid="{00000000-0005-0000-0000-0000BF150000}"/>
    <cellStyle name="s_HardInc  (2)_1_Fluxo de Caixa Orcamento FINAL_13052009" xfId="3499" xr:uid="{00000000-0005-0000-0000-0000C0150000}"/>
    <cellStyle name="s_HardInc  (2)_1_FM_dummyV4" xfId="3500" xr:uid="{00000000-0005-0000-0000-0000C1150000}"/>
    <cellStyle name="s_HardInc  (2)_1_lalur" xfId="3501" xr:uid="{00000000-0005-0000-0000-0000C2150000}"/>
    <cellStyle name="s_HardInc  (2)_1_Leasing_V3" xfId="3502" xr:uid="{00000000-0005-0000-0000-0000C3150000}"/>
    <cellStyle name="s_HardInc  (2)_1_MODELO PDP III" xfId="3503" xr:uid="{00000000-0005-0000-0000-0000C4150000}"/>
    <cellStyle name="s_HardInc  (2)_1_ORÇ_2009" xfId="3504" xr:uid="{00000000-0005-0000-0000-0000C5150000}"/>
    <cellStyle name="s_HardInc  (2)_1_Pasta2" xfId="3505" xr:uid="{00000000-0005-0000-0000-0000C6150000}"/>
    <cellStyle name="s_HardInc  (2)_2" xfId="3506" xr:uid="{00000000-0005-0000-0000-0000C7150000}"/>
    <cellStyle name="s_HardInc  (2)_2_Comparativo VP FIN v1_So 2008" xfId="8069" xr:uid="{00000000-0005-0000-0000-0000C8150000}"/>
    <cellStyle name="s_HardInc  (2)_2_Comparativo VP MKT 2008 v1_So 2008" xfId="8070" xr:uid="{00000000-0005-0000-0000-0000C9150000}"/>
    <cellStyle name="s_HardInc  (2)_2_Comparativo VP TEC 2008 v1_So 2008" xfId="8071" xr:uid="{00000000-0005-0000-0000-0000CA150000}"/>
    <cellStyle name="s_HardInc  (2)_2_Comparativo VP TEC 2008_Luiz Sergio" xfId="8072" xr:uid="{00000000-0005-0000-0000-0000CB150000}"/>
    <cellStyle name="s_HardInc  (2)_2_Cópia de Modelo - Fluxo de Caixa Orcamento 09052009_V36_3" xfId="3507" xr:uid="{00000000-0005-0000-0000-0000CC150000}"/>
    <cellStyle name="s_HardInc  (2)_2_Fluxo de Caixa Orcamento FINAL_13052009" xfId="3508" xr:uid="{00000000-0005-0000-0000-0000CD150000}"/>
    <cellStyle name="s_HardInc  (2)_2_FM_dummyV4" xfId="3509" xr:uid="{00000000-0005-0000-0000-0000CE150000}"/>
    <cellStyle name="s_HardInc  (2)_2_lalur" xfId="3510" xr:uid="{00000000-0005-0000-0000-0000CF150000}"/>
    <cellStyle name="s_HardInc  (2)_2_Leasing_V3" xfId="3511" xr:uid="{00000000-0005-0000-0000-0000D0150000}"/>
    <cellStyle name="s_HardInc  (2)_2_MODELO PDP III" xfId="3512" xr:uid="{00000000-0005-0000-0000-0000D1150000}"/>
    <cellStyle name="s_HardInc  (2)_2_ORÇ_2009" xfId="3513" xr:uid="{00000000-0005-0000-0000-0000D2150000}"/>
    <cellStyle name="s_HardInc  (2)_2_Pasta2" xfId="3514" xr:uid="{00000000-0005-0000-0000-0000D3150000}"/>
    <cellStyle name="s_HardInc  (2)_Celtic DCF" xfId="3515" xr:uid="{00000000-0005-0000-0000-0000D4150000}"/>
    <cellStyle name="s_HardInc  (2)_Celtic DCF Inputs" xfId="3516" xr:uid="{00000000-0005-0000-0000-0000D5150000}"/>
    <cellStyle name="s_HardInc  (2)_Celtic DCF Inputs_Comparativo VP FIN v1_So 2008" xfId="8073" xr:uid="{00000000-0005-0000-0000-0000D6150000}"/>
    <cellStyle name="s_HardInc  (2)_Celtic DCF Inputs_Comparativo VP MKT 2008 v1_So 2008" xfId="8074" xr:uid="{00000000-0005-0000-0000-0000D7150000}"/>
    <cellStyle name="s_HardInc  (2)_Celtic DCF Inputs_Comparativo VP TEC 2008 v1_So 2008" xfId="8075" xr:uid="{00000000-0005-0000-0000-0000D8150000}"/>
    <cellStyle name="s_HardInc  (2)_Celtic DCF Inputs_Comparativo VP TEC 2008_Luiz Sergio" xfId="8076" xr:uid="{00000000-0005-0000-0000-0000D9150000}"/>
    <cellStyle name="s_HardInc  (2)_Celtic DCF Inputs_Cópia de Modelo - Fluxo de Caixa Orcamento 09052009_V36_3" xfId="3517" xr:uid="{00000000-0005-0000-0000-0000DA150000}"/>
    <cellStyle name="s_HardInc  (2)_Celtic DCF Inputs_Fluxo de Caixa Orcamento FINAL_13052009" xfId="3518" xr:uid="{00000000-0005-0000-0000-0000DB150000}"/>
    <cellStyle name="s_HardInc  (2)_Celtic DCF Inputs_FM_dummyV4" xfId="3519" xr:uid="{00000000-0005-0000-0000-0000DC150000}"/>
    <cellStyle name="s_HardInc  (2)_Celtic DCF Inputs_lalur" xfId="3520" xr:uid="{00000000-0005-0000-0000-0000DD150000}"/>
    <cellStyle name="s_HardInc  (2)_Celtic DCF Inputs_Leasing_V3" xfId="3521" xr:uid="{00000000-0005-0000-0000-0000DE150000}"/>
    <cellStyle name="s_HardInc  (2)_Celtic DCF Inputs_MODELO PDP III" xfId="3522" xr:uid="{00000000-0005-0000-0000-0000DF150000}"/>
    <cellStyle name="s_HardInc  (2)_Celtic DCF Inputs_ORÇ_2009" xfId="3523" xr:uid="{00000000-0005-0000-0000-0000E0150000}"/>
    <cellStyle name="s_HardInc  (2)_Celtic DCF Inputs_Pasta2" xfId="3524" xr:uid="{00000000-0005-0000-0000-0000E1150000}"/>
    <cellStyle name="s_HardInc  (2)_Celtic DCF_Comparativo VP FIN v1_So 2008" xfId="8077" xr:uid="{00000000-0005-0000-0000-0000E2150000}"/>
    <cellStyle name="s_HardInc  (2)_Celtic DCF_Comparativo VP MKT 2008 v1_So 2008" xfId="8078" xr:uid="{00000000-0005-0000-0000-0000E3150000}"/>
    <cellStyle name="s_HardInc  (2)_Celtic DCF_Comparativo VP TEC 2008 v1_So 2008" xfId="8079" xr:uid="{00000000-0005-0000-0000-0000E4150000}"/>
    <cellStyle name="s_HardInc  (2)_Celtic DCF_Comparativo VP TEC 2008_Luiz Sergio" xfId="8080" xr:uid="{00000000-0005-0000-0000-0000E5150000}"/>
    <cellStyle name="s_HardInc  (2)_Celtic DCF_Cópia de Modelo - Fluxo de Caixa Orcamento 09052009_V36_3" xfId="3525" xr:uid="{00000000-0005-0000-0000-0000E6150000}"/>
    <cellStyle name="s_HardInc  (2)_Celtic DCF_Fluxo de Caixa Orcamento FINAL_13052009" xfId="3526" xr:uid="{00000000-0005-0000-0000-0000E7150000}"/>
    <cellStyle name="s_HardInc  (2)_Celtic DCF_FM_dummyV4" xfId="3527" xr:uid="{00000000-0005-0000-0000-0000E8150000}"/>
    <cellStyle name="s_HardInc  (2)_Celtic DCF_lalur" xfId="3528" xr:uid="{00000000-0005-0000-0000-0000E9150000}"/>
    <cellStyle name="s_HardInc  (2)_Celtic DCF_Leasing_V3" xfId="3529" xr:uid="{00000000-0005-0000-0000-0000EA150000}"/>
    <cellStyle name="s_HardInc  (2)_Celtic DCF_MODELO PDP III" xfId="3530" xr:uid="{00000000-0005-0000-0000-0000EB150000}"/>
    <cellStyle name="s_HardInc  (2)_Celtic DCF_ORÇ_2009" xfId="3531" xr:uid="{00000000-0005-0000-0000-0000EC150000}"/>
    <cellStyle name="s_HardInc  (2)_Celtic DCF_Pasta2" xfId="3532" xr:uid="{00000000-0005-0000-0000-0000ED150000}"/>
    <cellStyle name="s_HardInc  (2)_Comparativo VP FIN v1_So 2008" xfId="8081" xr:uid="{00000000-0005-0000-0000-0000EE150000}"/>
    <cellStyle name="s_HardInc  (2)_Comparativo VP MKT 2008 v1_So 2008" xfId="8082" xr:uid="{00000000-0005-0000-0000-0000EF150000}"/>
    <cellStyle name="s_HardInc  (2)_Comparativo VP TEC 2008 v1_So 2008" xfId="8083" xr:uid="{00000000-0005-0000-0000-0000F0150000}"/>
    <cellStyle name="s_HardInc  (2)_Comparativo VP TEC 2008_Luiz Sergio" xfId="8084" xr:uid="{00000000-0005-0000-0000-0000F1150000}"/>
    <cellStyle name="s_HardInc  (2)_Cópia de Modelo - Fluxo de Caixa Orcamento 09052009_V36_3" xfId="3533" xr:uid="{00000000-0005-0000-0000-0000F2150000}"/>
    <cellStyle name="s_HardInc  (2)_Fluxo de Caixa Orcamento FINAL_13052009" xfId="3534" xr:uid="{00000000-0005-0000-0000-0000F3150000}"/>
    <cellStyle name="s_HardInc  (2)_FM_dummyV4" xfId="3535" xr:uid="{00000000-0005-0000-0000-0000F4150000}"/>
    <cellStyle name="s_HardInc  (2)_lalur" xfId="3536" xr:uid="{00000000-0005-0000-0000-0000F5150000}"/>
    <cellStyle name="s_HardInc  (2)_Leasing_V3" xfId="3537" xr:uid="{00000000-0005-0000-0000-0000F6150000}"/>
    <cellStyle name="s_HardInc  (2)_MODELO PDP III" xfId="3538" xr:uid="{00000000-0005-0000-0000-0000F7150000}"/>
    <cellStyle name="s_HardInc  (2)_ORÇ_2009" xfId="3539" xr:uid="{00000000-0005-0000-0000-0000F8150000}"/>
    <cellStyle name="s_HardInc  (2)_Pasta2" xfId="3540" xr:uid="{00000000-0005-0000-0000-0000F9150000}"/>
    <cellStyle name="s_HardInc  (2)_Valuation Summary" xfId="3541" xr:uid="{00000000-0005-0000-0000-0000FA150000}"/>
    <cellStyle name="s_HardInc  (2)_Valuation Summary_Comparativo VP FIN v1_So 2008" xfId="8085" xr:uid="{00000000-0005-0000-0000-0000FB150000}"/>
    <cellStyle name="s_HardInc  (2)_Valuation Summary_Comparativo VP MKT 2008 v1_So 2008" xfId="8086" xr:uid="{00000000-0005-0000-0000-0000FC150000}"/>
    <cellStyle name="s_HardInc  (2)_Valuation Summary_Comparativo VP TEC 2008 v1_So 2008" xfId="8087" xr:uid="{00000000-0005-0000-0000-0000FD150000}"/>
    <cellStyle name="s_HardInc  (2)_Valuation Summary_Comparativo VP TEC 2008_Luiz Sergio" xfId="8088" xr:uid="{00000000-0005-0000-0000-0000FE150000}"/>
    <cellStyle name="s_HardInc  (2)_Valuation Summary_Cópia de Modelo - Fluxo de Caixa Orcamento 09052009_V36_3" xfId="3542" xr:uid="{00000000-0005-0000-0000-0000FF150000}"/>
    <cellStyle name="s_HardInc  (2)_Valuation Summary_Fluxo de Caixa Orcamento FINAL_13052009" xfId="3543" xr:uid="{00000000-0005-0000-0000-000000160000}"/>
    <cellStyle name="s_HardInc  (2)_Valuation Summary_FM_dummyV4" xfId="3544" xr:uid="{00000000-0005-0000-0000-000001160000}"/>
    <cellStyle name="s_HardInc  (2)_Valuation Summary_lalur" xfId="3545" xr:uid="{00000000-0005-0000-0000-000002160000}"/>
    <cellStyle name="s_HardInc  (2)_Valuation Summary_Leasing_V3" xfId="3546" xr:uid="{00000000-0005-0000-0000-000003160000}"/>
    <cellStyle name="s_HardInc  (2)_Valuation Summary_MODELO PDP III" xfId="3547" xr:uid="{00000000-0005-0000-0000-000004160000}"/>
    <cellStyle name="s_HardInc  (2)_Valuation Summary_ORÇ_2009" xfId="3548" xr:uid="{00000000-0005-0000-0000-000005160000}"/>
    <cellStyle name="s_HardInc  (2)_Valuation Summary_Pasta2" xfId="3549" xr:uid="{00000000-0005-0000-0000-000006160000}"/>
    <cellStyle name="s_HardInc _Celtic DCF" xfId="3550" xr:uid="{00000000-0005-0000-0000-000007160000}"/>
    <cellStyle name="s_HardInc _Celtic DCF Inputs" xfId="3551" xr:uid="{00000000-0005-0000-0000-000008160000}"/>
    <cellStyle name="s_HardInc _Celtic DCF Inputs_Comparativo VP FIN v1_So 2008" xfId="8089" xr:uid="{00000000-0005-0000-0000-000009160000}"/>
    <cellStyle name="s_HardInc _Celtic DCF Inputs_Comparativo VP MKT 2008 v1_So 2008" xfId="8090" xr:uid="{00000000-0005-0000-0000-00000A160000}"/>
    <cellStyle name="s_HardInc _Celtic DCF Inputs_Comparativo VP TEC 2008 v1_So 2008" xfId="8091" xr:uid="{00000000-0005-0000-0000-00000B160000}"/>
    <cellStyle name="s_HardInc _Celtic DCF Inputs_Comparativo VP TEC 2008_Luiz Sergio" xfId="8092" xr:uid="{00000000-0005-0000-0000-00000C160000}"/>
    <cellStyle name="s_HardInc _Celtic DCF Inputs_Cópia de Modelo - Fluxo de Caixa Orcamento 09052009_V36_3" xfId="3552" xr:uid="{00000000-0005-0000-0000-00000D160000}"/>
    <cellStyle name="s_HardInc _Celtic DCF Inputs_Fluxo de Caixa Orcamento FINAL_13052009" xfId="3553" xr:uid="{00000000-0005-0000-0000-00000E160000}"/>
    <cellStyle name="s_HardInc _Celtic DCF Inputs_FM_dummyV4" xfId="3554" xr:uid="{00000000-0005-0000-0000-00000F160000}"/>
    <cellStyle name="s_HardInc _Celtic DCF Inputs_lalur" xfId="3555" xr:uid="{00000000-0005-0000-0000-000010160000}"/>
    <cellStyle name="s_HardInc _Celtic DCF Inputs_Leasing_V3" xfId="3556" xr:uid="{00000000-0005-0000-0000-000011160000}"/>
    <cellStyle name="s_HardInc _Celtic DCF Inputs_MODELO PDP III" xfId="3557" xr:uid="{00000000-0005-0000-0000-000012160000}"/>
    <cellStyle name="s_HardInc _Celtic DCF Inputs_ORÇ_2009" xfId="3558" xr:uid="{00000000-0005-0000-0000-000013160000}"/>
    <cellStyle name="s_HardInc _Celtic DCF Inputs_Pasta2" xfId="3559" xr:uid="{00000000-0005-0000-0000-000014160000}"/>
    <cellStyle name="s_HardInc _Celtic DCF_Comparativo VP FIN v1_So 2008" xfId="8093" xr:uid="{00000000-0005-0000-0000-000015160000}"/>
    <cellStyle name="s_HardInc _Celtic DCF_Comparativo VP MKT 2008 v1_So 2008" xfId="8094" xr:uid="{00000000-0005-0000-0000-000016160000}"/>
    <cellStyle name="s_HardInc _Celtic DCF_Comparativo VP TEC 2008 v1_So 2008" xfId="8095" xr:uid="{00000000-0005-0000-0000-000017160000}"/>
    <cellStyle name="s_HardInc _Celtic DCF_Comparativo VP TEC 2008_Luiz Sergio" xfId="8096" xr:uid="{00000000-0005-0000-0000-000018160000}"/>
    <cellStyle name="s_HardInc _Celtic DCF_Cópia de Modelo - Fluxo de Caixa Orcamento 09052009_V36_3" xfId="3560" xr:uid="{00000000-0005-0000-0000-000019160000}"/>
    <cellStyle name="s_HardInc _Celtic DCF_Fluxo de Caixa Orcamento FINAL_13052009" xfId="3561" xr:uid="{00000000-0005-0000-0000-00001A160000}"/>
    <cellStyle name="s_HardInc _Celtic DCF_FM_dummyV4" xfId="3562" xr:uid="{00000000-0005-0000-0000-00001B160000}"/>
    <cellStyle name="s_HardInc _Celtic DCF_lalur" xfId="3563" xr:uid="{00000000-0005-0000-0000-00001C160000}"/>
    <cellStyle name="s_HardInc _Celtic DCF_Leasing_V3" xfId="3564" xr:uid="{00000000-0005-0000-0000-00001D160000}"/>
    <cellStyle name="s_HardInc _Celtic DCF_MODELO PDP III" xfId="3565" xr:uid="{00000000-0005-0000-0000-00001E160000}"/>
    <cellStyle name="s_HardInc _Celtic DCF_ORÇ_2009" xfId="3566" xr:uid="{00000000-0005-0000-0000-00001F160000}"/>
    <cellStyle name="s_HardInc _Celtic DCF_Pasta2" xfId="3567" xr:uid="{00000000-0005-0000-0000-000020160000}"/>
    <cellStyle name="s_HardInc _Comparativo VP FIN v1_So 2008" xfId="8097" xr:uid="{00000000-0005-0000-0000-000021160000}"/>
    <cellStyle name="s_HardInc _Comparativo VP MKT 2008 v1_So 2008" xfId="8098" xr:uid="{00000000-0005-0000-0000-000022160000}"/>
    <cellStyle name="s_HardInc _Comparativo VP TEC 2008 v1_So 2008" xfId="8099" xr:uid="{00000000-0005-0000-0000-000023160000}"/>
    <cellStyle name="s_HardInc _Comparativo VP TEC 2008_Luiz Sergio" xfId="8100" xr:uid="{00000000-0005-0000-0000-000024160000}"/>
    <cellStyle name="s_HardInc _Cópia de Modelo - Fluxo de Caixa Orcamento 09052009_V36_3" xfId="3568" xr:uid="{00000000-0005-0000-0000-000025160000}"/>
    <cellStyle name="s_HardInc _Fluxo de Caixa Orcamento FINAL_13052009" xfId="3569" xr:uid="{00000000-0005-0000-0000-000026160000}"/>
    <cellStyle name="s_HardInc _FM_dummyV4" xfId="3570" xr:uid="{00000000-0005-0000-0000-000027160000}"/>
    <cellStyle name="s_HardInc _lalur" xfId="3571" xr:uid="{00000000-0005-0000-0000-000028160000}"/>
    <cellStyle name="s_HardInc _Leasing_V3" xfId="3572" xr:uid="{00000000-0005-0000-0000-000029160000}"/>
    <cellStyle name="s_HardInc _MODELO PDP III" xfId="3573" xr:uid="{00000000-0005-0000-0000-00002A160000}"/>
    <cellStyle name="s_HardInc _ORÇ_2009" xfId="3574" xr:uid="{00000000-0005-0000-0000-00002B160000}"/>
    <cellStyle name="s_HardInc _Pasta2" xfId="3575" xr:uid="{00000000-0005-0000-0000-00002C160000}"/>
    <cellStyle name="s_HardInc _Valuation Summary" xfId="3576" xr:uid="{00000000-0005-0000-0000-00002D160000}"/>
    <cellStyle name="s_HardInc _Valuation Summary_Comparativo VP FIN v1_So 2008" xfId="8101" xr:uid="{00000000-0005-0000-0000-00002E160000}"/>
    <cellStyle name="s_HardInc _Valuation Summary_Comparativo VP MKT 2008 v1_So 2008" xfId="8102" xr:uid="{00000000-0005-0000-0000-00002F160000}"/>
    <cellStyle name="s_HardInc _Valuation Summary_Comparativo VP TEC 2008 v1_So 2008" xfId="8103" xr:uid="{00000000-0005-0000-0000-000030160000}"/>
    <cellStyle name="s_HardInc _Valuation Summary_Comparativo VP TEC 2008_Luiz Sergio" xfId="8104" xr:uid="{00000000-0005-0000-0000-000031160000}"/>
    <cellStyle name="s_HardInc _Valuation Summary_Cópia de Modelo - Fluxo de Caixa Orcamento 09052009_V36_3" xfId="3577" xr:uid="{00000000-0005-0000-0000-000032160000}"/>
    <cellStyle name="s_HardInc _Valuation Summary_Fluxo de Caixa Orcamento FINAL_13052009" xfId="3578" xr:uid="{00000000-0005-0000-0000-000033160000}"/>
    <cellStyle name="s_HardInc _Valuation Summary_FM_dummyV4" xfId="3579" xr:uid="{00000000-0005-0000-0000-000034160000}"/>
    <cellStyle name="s_HardInc _Valuation Summary_lalur" xfId="3580" xr:uid="{00000000-0005-0000-0000-000035160000}"/>
    <cellStyle name="s_HardInc _Valuation Summary_Leasing_V3" xfId="3581" xr:uid="{00000000-0005-0000-0000-000036160000}"/>
    <cellStyle name="s_HardInc _Valuation Summary_MODELO PDP III" xfId="3582" xr:uid="{00000000-0005-0000-0000-000037160000}"/>
    <cellStyle name="s_HardInc _Valuation Summary_ORÇ_2009" xfId="3583" xr:uid="{00000000-0005-0000-0000-000038160000}"/>
    <cellStyle name="s_HardInc _Valuation Summary_Pasta2" xfId="3584" xr:uid="{00000000-0005-0000-0000-000039160000}"/>
    <cellStyle name="s_Has-Gets (2)" xfId="3585" xr:uid="{00000000-0005-0000-0000-00003A160000}"/>
    <cellStyle name="s_Has-Gets (2)_1" xfId="3586" xr:uid="{00000000-0005-0000-0000-00003B160000}"/>
    <cellStyle name="s_Has-Gets (2)_1_Comparativo VP FIN v1_So 2008" xfId="8105" xr:uid="{00000000-0005-0000-0000-00003C160000}"/>
    <cellStyle name="s_Has-Gets (2)_1_Comparativo VP MKT 2008 v1_So 2008" xfId="8106" xr:uid="{00000000-0005-0000-0000-00003D160000}"/>
    <cellStyle name="s_Has-Gets (2)_1_Comparativo VP TEC 2008 v1_So 2008" xfId="8107" xr:uid="{00000000-0005-0000-0000-00003E160000}"/>
    <cellStyle name="s_Has-Gets (2)_1_Comparativo VP TEC 2008_Luiz Sergio" xfId="8108" xr:uid="{00000000-0005-0000-0000-00003F160000}"/>
    <cellStyle name="s_Has-Gets (2)_1_Cópia de Modelo - Fluxo de Caixa Orcamento 09052009_V36_3" xfId="3587" xr:uid="{00000000-0005-0000-0000-000040160000}"/>
    <cellStyle name="s_Has-Gets (2)_1_Fluxo de Caixa Orcamento FINAL_13052009" xfId="3588" xr:uid="{00000000-0005-0000-0000-000041160000}"/>
    <cellStyle name="s_Has-Gets (2)_1_FM_dummyV4" xfId="3589" xr:uid="{00000000-0005-0000-0000-000042160000}"/>
    <cellStyle name="s_Has-Gets (2)_1_lalur" xfId="3590" xr:uid="{00000000-0005-0000-0000-000043160000}"/>
    <cellStyle name="s_Has-Gets (2)_1_Leasing_V3" xfId="3591" xr:uid="{00000000-0005-0000-0000-000044160000}"/>
    <cellStyle name="s_Has-Gets (2)_1_MODELO PDP III" xfId="3592" xr:uid="{00000000-0005-0000-0000-000045160000}"/>
    <cellStyle name="s_Has-Gets (2)_1_ORÇ_2009" xfId="3593" xr:uid="{00000000-0005-0000-0000-000046160000}"/>
    <cellStyle name="s_Has-Gets (2)_1_Pasta2" xfId="3594" xr:uid="{00000000-0005-0000-0000-000047160000}"/>
    <cellStyle name="s_Has-Gets (2)_Comparativo VP FIN v1_So 2008" xfId="8109" xr:uid="{00000000-0005-0000-0000-000048160000}"/>
    <cellStyle name="s_Has-Gets (2)_Comparativo VP MKT 2008 v1_So 2008" xfId="8110" xr:uid="{00000000-0005-0000-0000-000049160000}"/>
    <cellStyle name="s_Has-Gets (2)_Comparativo VP TEC 2008 v1_So 2008" xfId="8111" xr:uid="{00000000-0005-0000-0000-00004A160000}"/>
    <cellStyle name="s_Has-Gets (2)_Comparativo VP TEC 2008_Luiz Sergio" xfId="8112" xr:uid="{00000000-0005-0000-0000-00004B160000}"/>
    <cellStyle name="s_Has-Gets (2)_Cópia de Modelo - Fluxo de Caixa Orcamento 09052009_V36_3" xfId="3595" xr:uid="{00000000-0005-0000-0000-00004C160000}"/>
    <cellStyle name="s_Has-Gets (2)_Fluxo de Caixa Orcamento FINAL_13052009" xfId="3596" xr:uid="{00000000-0005-0000-0000-00004D160000}"/>
    <cellStyle name="s_Has-Gets (2)_FM_dummyV4" xfId="3597" xr:uid="{00000000-0005-0000-0000-00004E160000}"/>
    <cellStyle name="s_Has-Gets (2)_lalur" xfId="3598" xr:uid="{00000000-0005-0000-0000-00004F160000}"/>
    <cellStyle name="s_Has-Gets (2)_Leasing_V3" xfId="3599" xr:uid="{00000000-0005-0000-0000-000050160000}"/>
    <cellStyle name="s_Has-Gets (2)_MODELO PDP III" xfId="3600" xr:uid="{00000000-0005-0000-0000-000051160000}"/>
    <cellStyle name="s_Has-Gets (2)_ORÇ_2009" xfId="3601" xr:uid="{00000000-0005-0000-0000-000052160000}"/>
    <cellStyle name="s_Has-Gets (2)_Pasta2" xfId="3602" xr:uid="{00000000-0005-0000-0000-000053160000}"/>
    <cellStyle name="s_Hist Graph" xfId="3603" xr:uid="{00000000-0005-0000-0000-000054160000}"/>
    <cellStyle name="s_Hist Graph_1" xfId="3604" xr:uid="{00000000-0005-0000-0000-000055160000}"/>
    <cellStyle name="s_Hist Graph_1_Comparativo VP FIN v1_So 2008" xfId="8113" xr:uid="{00000000-0005-0000-0000-000056160000}"/>
    <cellStyle name="s_Hist Graph_1_Comparativo VP MKT 2008 v1_So 2008" xfId="8114" xr:uid="{00000000-0005-0000-0000-000057160000}"/>
    <cellStyle name="s_Hist Graph_1_Comparativo VP TEC 2008 v1_So 2008" xfId="8115" xr:uid="{00000000-0005-0000-0000-000058160000}"/>
    <cellStyle name="s_Hist Graph_1_Comparativo VP TEC 2008_Luiz Sergio" xfId="8116" xr:uid="{00000000-0005-0000-0000-000059160000}"/>
    <cellStyle name="s_Hist Graph_1_Cópia de Modelo - Fluxo de Caixa Orcamento 09052009_V36_3" xfId="3605" xr:uid="{00000000-0005-0000-0000-00005A160000}"/>
    <cellStyle name="s_Hist Graph_1_Fluxo de Caixa Orcamento FINAL_13052009" xfId="3606" xr:uid="{00000000-0005-0000-0000-00005B160000}"/>
    <cellStyle name="s_Hist Graph_1_FM_dummyV4" xfId="3607" xr:uid="{00000000-0005-0000-0000-00005C160000}"/>
    <cellStyle name="s_Hist Graph_1_lalur" xfId="3608" xr:uid="{00000000-0005-0000-0000-00005D160000}"/>
    <cellStyle name="s_Hist Graph_1_Leasing_V3" xfId="3609" xr:uid="{00000000-0005-0000-0000-00005E160000}"/>
    <cellStyle name="s_Hist Graph_1_MODELO PDP III" xfId="3610" xr:uid="{00000000-0005-0000-0000-00005F160000}"/>
    <cellStyle name="s_Hist Graph_1_ORÇ_2009" xfId="3611" xr:uid="{00000000-0005-0000-0000-000060160000}"/>
    <cellStyle name="s_Hist Graph_1_Pasta2" xfId="3612" xr:uid="{00000000-0005-0000-0000-000061160000}"/>
    <cellStyle name="s_Hist Graph_2" xfId="3613" xr:uid="{00000000-0005-0000-0000-000062160000}"/>
    <cellStyle name="s_Hist Graph_2_Comparativo VP FIN v1_So 2008" xfId="8117" xr:uid="{00000000-0005-0000-0000-000063160000}"/>
    <cellStyle name="s_Hist Graph_2_Comparativo VP MKT 2008 v1_So 2008" xfId="8118" xr:uid="{00000000-0005-0000-0000-000064160000}"/>
    <cellStyle name="s_Hist Graph_2_Comparativo VP TEC 2008 v1_So 2008" xfId="8119" xr:uid="{00000000-0005-0000-0000-000065160000}"/>
    <cellStyle name="s_Hist Graph_2_Comparativo VP TEC 2008_Luiz Sergio" xfId="8120" xr:uid="{00000000-0005-0000-0000-000066160000}"/>
    <cellStyle name="s_Hist Graph_2_Cópia de Modelo - Fluxo de Caixa Orcamento 09052009_V36_3" xfId="3614" xr:uid="{00000000-0005-0000-0000-000067160000}"/>
    <cellStyle name="s_Hist Graph_2_Fluxo de Caixa Orcamento FINAL_13052009" xfId="3615" xr:uid="{00000000-0005-0000-0000-000068160000}"/>
    <cellStyle name="s_Hist Graph_2_FM_dummyV4" xfId="3616" xr:uid="{00000000-0005-0000-0000-000069160000}"/>
    <cellStyle name="s_Hist Graph_2_lalur" xfId="3617" xr:uid="{00000000-0005-0000-0000-00006A160000}"/>
    <cellStyle name="s_Hist Graph_2_Leasing_V3" xfId="3618" xr:uid="{00000000-0005-0000-0000-00006B160000}"/>
    <cellStyle name="s_Hist Graph_2_MODELO PDP III" xfId="3619" xr:uid="{00000000-0005-0000-0000-00006C160000}"/>
    <cellStyle name="s_Hist Graph_2_ORÇ_2009" xfId="3620" xr:uid="{00000000-0005-0000-0000-00006D160000}"/>
    <cellStyle name="s_Hist Graph_2_Pasta2" xfId="3621" xr:uid="{00000000-0005-0000-0000-00006E160000}"/>
    <cellStyle name="s_Hist Graph_Comparativo VP FIN v1_So 2008" xfId="8121" xr:uid="{00000000-0005-0000-0000-00006F160000}"/>
    <cellStyle name="s_Hist Graph_Comparativo VP MKT 2008 v1_So 2008" xfId="8122" xr:uid="{00000000-0005-0000-0000-000070160000}"/>
    <cellStyle name="s_Hist Graph_Comparativo VP TEC 2008 v1_So 2008" xfId="8123" xr:uid="{00000000-0005-0000-0000-000071160000}"/>
    <cellStyle name="s_Hist Graph_Comparativo VP TEC 2008_Luiz Sergio" xfId="8124" xr:uid="{00000000-0005-0000-0000-000072160000}"/>
    <cellStyle name="s_Hist Graph_Cópia de Modelo - Fluxo de Caixa Orcamento 09052009_V36_3" xfId="3622" xr:uid="{00000000-0005-0000-0000-000073160000}"/>
    <cellStyle name="s_Hist Graph_Fluxo de Caixa Orcamento FINAL_13052009" xfId="3623" xr:uid="{00000000-0005-0000-0000-000074160000}"/>
    <cellStyle name="s_Hist Graph_FM_dummyV4" xfId="3624" xr:uid="{00000000-0005-0000-0000-000075160000}"/>
    <cellStyle name="s_Hist Graph_lalur" xfId="3625" xr:uid="{00000000-0005-0000-0000-000076160000}"/>
    <cellStyle name="s_Hist Graph_Leasing_V3" xfId="3626" xr:uid="{00000000-0005-0000-0000-000077160000}"/>
    <cellStyle name="s_Hist Graph_MODELO PDP III" xfId="3627" xr:uid="{00000000-0005-0000-0000-000078160000}"/>
    <cellStyle name="s_Hist Graph_ORÇ_2009" xfId="3628" xr:uid="{00000000-0005-0000-0000-000079160000}"/>
    <cellStyle name="s_Hist Graph_Pasta2" xfId="3629" xr:uid="{00000000-0005-0000-0000-00007A160000}"/>
    <cellStyle name="s_Hist Inputs" xfId="3630" xr:uid="{00000000-0005-0000-0000-00007B160000}"/>
    <cellStyle name="s_Hist Inputs (2)" xfId="3631" xr:uid="{00000000-0005-0000-0000-00007C160000}"/>
    <cellStyle name="s_Hist Inputs (2)_1" xfId="3632" xr:uid="{00000000-0005-0000-0000-00007D160000}"/>
    <cellStyle name="s_Hist Inputs (2)_1_Comparativo VP FIN v1_So 2008" xfId="8125" xr:uid="{00000000-0005-0000-0000-00007E160000}"/>
    <cellStyle name="s_Hist Inputs (2)_1_Comparativo VP MKT 2008 v1_So 2008" xfId="8126" xr:uid="{00000000-0005-0000-0000-00007F160000}"/>
    <cellStyle name="s_Hist Inputs (2)_1_Comparativo VP TEC 2008 v1_So 2008" xfId="8127" xr:uid="{00000000-0005-0000-0000-000080160000}"/>
    <cellStyle name="s_Hist Inputs (2)_1_Comparativo VP TEC 2008_Luiz Sergio" xfId="8128" xr:uid="{00000000-0005-0000-0000-000081160000}"/>
    <cellStyle name="s_Hist Inputs (2)_1_Cópia de Modelo - Fluxo de Caixa Orcamento 09052009_V36_3" xfId="3633" xr:uid="{00000000-0005-0000-0000-000082160000}"/>
    <cellStyle name="s_Hist Inputs (2)_1_Fluxo de Caixa Orcamento FINAL_13052009" xfId="3634" xr:uid="{00000000-0005-0000-0000-000083160000}"/>
    <cellStyle name="s_Hist Inputs (2)_1_FM_dummyV4" xfId="3635" xr:uid="{00000000-0005-0000-0000-000084160000}"/>
    <cellStyle name="s_Hist Inputs (2)_1_lalur" xfId="3636" xr:uid="{00000000-0005-0000-0000-000085160000}"/>
    <cellStyle name="s_Hist Inputs (2)_1_Leasing_V3" xfId="3637" xr:uid="{00000000-0005-0000-0000-000086160000}"/>
    <cellStyle name="s_Hist Inputs (2)_1_MODELO PDP III" xfId="3638" xr:uid="{00000000-0005-0000-0000-000087160000}"/>
    <cellStyle name="s_Hist Inputs (2)_1_ORÇ_2009" xfId="3639" xr:uid="{00000000-0005-0000-0000-000088160000}"/>
    <cellStyle name="s_Hist Inputs (2)_1_Pasta2" xfId="3640" xr:uid="{00000000-0005-0000-0000-000089160000}"/>
    <cellStyle name="s_Hist Inputs (2)_Comparativo VP FIN v1_So 2008" xfId="8129" xr:uid="{00000000-0005-0000-0000-00008A160000}"/>
    <cellStyle name="s_Hist Inputs (2)_Comparativo VP MKT 2008 v1_So 2008" xfId="8130" xr:uid="{00000000-0005-0000-0000-00008B160000}"/>
    <cellStyle name="s_Hist Inputs (2)_Comparativo VP TEC 2008 v1_So 2008" xfId="8131" xr:uid="{00000000-0005-0000-0000-00008C160000}"/>
    <cellStyle name="s_Hist Inputs (2)_Comparativo VP TEC 2008_Luiz Sergio" xfId="8132" xr:uid="{00000000-0005-0000-0000-00008D160000}"/>
    <cellStyle name="s_Hist Inputs (2)_Cópia de Modelo - Fluxo de Caixa Orcamento 09052009_V36_3" xfId="3641" xr:uid="{00000000-0005-0000-0000-00008E160000}"/>
    <cellStyle name="s_Hist Inputs (2)_Fluxo de Caixa Orcamento FINAL_13052009" xfId="3642" xr:uid="{00000000-0005-0000-0000-00008F160000}"/>
    <cellStyle name="s_Hist Inputs (2)_FM_dummyV4" xfId="3643" xr:uid="{00000000-0005-0000-0000-000090160000}"/>
    <cellStyle name="s_Hist Inputs (2)_lalur" xfId="3644" xr:uid="{00000000-0005-0000-0000-000091160000}"/>
    <cellStyle name="s_Hist Inputs (2)_Leasing_V3" xfId="3645" xr:uid="{00000000-0005-0000-0000-000092160000}"/>
    <cellStyle name="s_Hist Inputs (2)_MODELO PDP III" xfId="3646" xr:uid="{00000000-0005-0000-0000-000093160000}"/>
    <cellStyle name="s_Hist Inputs (2)_ORÇ_2009" xfId="3647" xr:uid="{00000000-0005-0000-0000-000094160000}"/>
    <cellStyle name="s_Hist Inputs (2)_Pasta2" xfId="3648" xr:uid="{00000000-0005-0000-0000-000095160000}"/>
    <cellStyle name="s_Hist Inputs_1" xfId="3649" xr:uid="{00000000-0005-0000-0000-000096160000}"/>
    <cellStyle name="s_Hist Inputs_1_AM0909" xfId="3650" xr:uid="{00000000-0005-0000-0000-000097160000}"/>
    <cellStyle name="s_Hist Inputs_1_AM0909_Comparativo VP FIN v1_So 2008" xfId="8133" xr:uid="{00000000-0005-0000-0000-000098160000}"/>
    <cellStyle name="s_Hist Inputs_1_AM0909_Comparativo VP MKT 2008 v1_So 2008" xfId="8134" xr:uid="{00000000-0005-0000-0000-000099160000}"/>
    <cellStyle name="s_Hist Inputs_1_AM0909_Comparativo VP TEC 2008 v1_So 2008" xfId="8135" xr:uid="{00000000-0005-0000-0000-00009A160000}"/>
    <cellStyle name="s_Hist Inputs_1_AM0909_Comparativo VP TEC 2008_Luiz Sergio" xfId="8136" xr:uid="{00000000-0005-0000-0000-00009B160000}"/>
    <cellStyle name="s_Hist Inputs_1_AM0909_Cópia de Modelo - Fluxo de Caixa Orcamento 09052009_V36_3" xfId="3651" xr:uid="{00000000-0005-0000-0000-00009C160000}"/>
    <cellStyle name="s_Hist Inputs_1_AM0909_Fluxo de Caixa Orcamento FINAL_13052009" xfId="3652" xr:uid="{00000000-0005-0000-0000-00009D160000}"/>
    <cellStyle name="s_Hist Inputs_1_AM0909_FM_dummyV4" xfId="3653" xr:uid="{00000000-0005-0000-0000-00009E160000}"/>
    <cellStyle name="s_Hist Inputs_1_AM0909_lalur" xfId="3654" xr:uid="{00000000-0005-0000-0000-00009F160000}"/>
    <cellStyle name="s_Hist Inputs_1_AM0909_Leasing_V3" xfId="3655" xr:uid="{00000000-0005-0000-0000-0000A0160000}"/>
    <cellStyle name="s_Hist Inputs_1_AM0909_MODELO PDP III" xfId="3656" xr:uid="{00000000-0005-0000-0000-0000A1160000}"/>
    <cellStyle name="s_Hist Inputs_1_AM0909_ORÇ_2009" xfId="3657" xr:uid="{00000000-0005-0000-0000-0000A2160000}"/>
    <cellStyle name="s_Hist Inputs_1_AM0909_Pasta2" xfId="3658" xr:uid="{00000000-0005-0000-0000-0000A3160000}"/>
    <cellStyle name="s_Hist Inputs_1_Brenner" xfId="3659" xr:uid="{00000000-0005-0000-0000-0000A4160000}"/>
    <cellStyle name="s_Hist Inputs_1_Brenner_Comparativo VP FIN v1_So 2008" xfId="8137" xr:uid="{00000000-0005-0000-0000-0000A5160000}"/>
    <cellStyle name="s_Hist Inputs_1_Brenner_Comparativo VP MKT 2008 v1_So 2008" xfId="8138" xr:uid="{00000000-0005-0000-0000-0000A6160000}"/>
    <cellStyle name="s_Hist Inputs_1_Brenner_Comparativo VP TEC 2008 v1_So 2008" xfId="8139" xr:uid="{00000000-0005-0000-0000-0000A7160000}"/>
    <cellStyle name="s_Hist Inputs_1_Brenner_Comparativo VP TEC 2008_Luiz Sergio" xfId="8140" xr:uid="{00000000-0005-0000-0000-0000A8160000}"/>
    <cellStyle name="s_Hist Inputs_1_Brenner_Cópia de Modelo - Fluxo de Caixa Orcamento 09052009_V36_3" xfId="3660" xr:uid="{00000000-0005-0000-0000-0000A9160000}"/>
    <cellStyle name="s_Hist Inputs_1_Brenner_Fluxo de Caixa Orcamento FINAL_13052009" xfId="3661" xr:uid="{00000000-0005-0000-0000-0000AA160000}"/>
    <cellStyle name="s_Hist Inputs_1_Brenner_FM_dummyV4" xfId="3662" xr:uid="{00000000-0005-0000-0000-0000AB160000}"/>
    <cellStyle name="s_Hist Inputs_1_Brenner_lalur" xfId="3663" xr:uid="{00000000-0005-0000-0000-0000AC160000}"/>
    <cellStyle name="s_Hist Inputs_1_Brenner_Leasing_V3" xfId="3664" xr:uid="{00000000-0005-0000-0000-0000AD160000}"/>
    <cellStyle name="s_Hist Inputs_1_Brenner_MODELO PDP III" xfId="3665" xr:uid="{00000000-0005-0000-0000-0000AE160000}"/>
    <cellStyle name="s_Hist Inputs_1_Brenner_ORÇ_2009" xfId="3666" xr:uid="{00000000-0005-0000-0000-0000AF160000}"/>
    <cellStyle name="s_Hist Inputs_1_Brenner_Pasta2" xfId="3667" xr:uid="{00000000-0005-0000-0000-0000B0160000}"/>
    <cellStyle name="s_Hist Inputs_1_Comparativo VP FIN v1_So 2008" xfId="8141" xr:uid="{00000000-0005-0000-0000-0000B1160000}"/>
    <cellStyle name="s_Hist Inputs_1_Comparativo VP MKT 2008 v1_So 2008" xfId="8142" xr:uid="{00000000-0005-0000-0000-0000B2160000}"/>
    <cellStyle name="s_Hist Inputs_1_Comparativo VP TEC 2008 v1_So 2008" xfId="8143" xr:uid="{00000000-0005-0000-0000-0000B3160000}"/>
    <cellStyle name="s_Hist Inputs_1_Comparativo VP TEC 2008_Luiz Sergio" xfId="8144" xr:uid="{00000000-0005-0000-0000-0000B4160000}"/>
    <cellStyle name="s_Hist Inputs_1_Cópia de Modelo - Fluxo de Caixa Orcamento 09052009_V36_3" xfId="3668" xr:uid="{00000000-0005-0000-0000-0000B5160000}"/>
    <cellStyle name="s_Hist Inputs_1_Fluxo de Caixa Orcamento FINAL_13052009" xfId="3669" xr:uid="{00000000-0005-0000-0000-0000B6160000}"/>
    <cellStyle name="s_Hist Inputs_1_FM_dummyV4" xfId="3670" xr:uid="{00000000-0005-0000-0000-0000B7160000}"/>
    <cellStyle name="s_Hist Inputs_1_lalur" xfId="3671" xr:uid="{00000000-0005-0000-0000-0000B8160000}"/>
    <cellStyle name="s_Hist Inputs_1_Leasing_V3" xfId="3672" xr:uid="{00000000-0005-0000-0000-0000B9160000}"/>
    <cellStyle name="s_Hist Inputs_1_MODELO PDP III" xfId="3673" xr:uid="{00000000-0005-0000-0000-0000BA160000}"/>
    <cellStyle name="s_Hist Inputs_1_ORÇ_2009" xfId="3674" xr:uid="{00000000-0005-0000-0000-0000BB160000}"/>
    <cellStyle name="s_Hist Inputs_1_Pasta2" xfId="3675" xr:uid="{00000000-0005-0000-0000-0000BC160000}"/>
    <cellStyle name="s_Hist Inputs_2" xfId="3676" xr:uid="{00000000-0005-0000-0000-0000BD160000}"/>
    <cellStyle name="s_Hist Inputs_2_Comparativo VP FIN v1_So 2008" xfId="8145" xr:uid="{00000000-0005-0000-0000-0000BE160000}"/>
    <cellStyle name="s_Hist Inputs_2_Comparativo VP MKT 2008 v1_So 2008" xfId="8146" xr:uid="{00000000-0005-0000-0000-0000BF160000}"/>
    <cellStyle name="s_Hist Inputs_2_Comparativo VP TEC 2008 v1_So 2008" xfId="8147" xr:uid="{00000000-0005-0000-0000-0000C0160000}"/>
    <cellStyle name="s_Hist Inputs_2_Comparativo VP TEC 2008_Luiz Sergio" xfId="8148" xr:uid="{00000000-0005-0000-0000-0000C1160000}"/>
    <cellStyle name="s_Hist Inputs_2_Cópia de Modelo - Fluxo de Caixa Orcamento 09052009_V36_3" xfId="3677" xr:uid="{00000000-0005-0000-0000-0000C2160000}"/>
    <cellStyle name="s_Hist Inputs_2_Fluxo de Caixa Orcamento FINAL_13052009" xfId="3678" xr:uid="{00000000-0005-0000-0000-0000C3160000}"/>
    <cellStyle name="s_Hist Inputs_2_FM_dummyV4" xfId="3679" xr:uid="{00000000-0005-0000-0000-0000C4160000}"/>
    <cellStyle name="s_Hist Inputs_2_lalur" xfId="3680" xr:uid="{00000000-0005-0000-0000-0000C5160000}"/>
    <cellStyle name="s_Hist Inputs_2_Leasing_V3" xfId="3681" xr:uid="{00000000-0005-0000-0000-0000C6160000}"/>
    <cellStyle name="s_Hist Inputs_2_MODELO PDP III" xfId="3682" xr:uid="{00000000-0005-0000-0000-0000C7160000}"/>
    <cellStyle name="s_Hist Inputs_2_ORÇ_2009" xfId="3683" xr:uid="{00000000-0005-0000-0000-0000C8160000}"/>
    <cellStyle name="s_Hist Inputs_2_Pasta2" xfId="3684" xr:uid="{00000000-0005-0000-0000-0000C9160000}"/>
    <cellStyle name="s_Hist Inputs_AM0909" xfId="3685" xr:uid="{00000000-0005-0000-0000-0000CA160000}"/>
    <cellStyle name="s_Hist Inputs_AM0909_Comparativo VP FIN v1_So 2008" xfId="8149" xr:uid="{00000000-0005-0000-0000-0000CB160000}"/>
    <cellStyle name="s_Hist Inputs_AM0909_Comparativo VP MKT 2008 v1_So 2008" xfId="8150" xr:uid="{00000000-0005-0000-0000-0000CC160000}"/>
    <cellStyle name="s_Hist Inputs_AM0909_Comparativo VP TEC 2008 v1_So 2008" xfId="8151" xr:uid="{00000000-0005-0000-0000-0000CD160000}"/>
    <cellStyle name="s_Hist Inputs_AM0909_Comparativo VP TEC 2008_Luiz Sergio" xfId="8152" xr:uid="{00000000-0005-0000-0000-0000CE160000}"/>
    <cellStyle name="s_Hist Inputs_AM0909_Cópia de Modelo - Fluxo de Caixa Orcamento 09052009_V36_3" xfId="3686" xr:uid="{00000000-0005-0000-0000-0000CF160000}"/>
    <cellStyle name="s_Hist Inputs_AM0909_Fluxo de Caixa Orcamento FINAL_13052009" xfId="3687" xr:uid="{00000000-0005-0000-0000-0000D0160000}"/>
    <cellStyle name="s_Hist Inputs_AM0909_FM_dummyV4" xfId="3688" xr:uid="{00000000-0005-0000-0000-0000D1160000}"/>
    <cellStyle name="s_Hist Inputs_AM0909_lalur" xfId="3689" xr:uid="{00000000-0005-0000-0000-0000D2160000}"/>
    <cellStyle name="s_Hist Inputs_AM0909_Leasing_V3" xfId="3690" xr:uid="{00000000-0005-0000-0000-0000D3160000}"/>
    <cellStyle name="s_Hist Inputs_AM0909_MODELO PDP III" xfId="3691" xr:uid="{00000000-0005-0000-0000-0000D4160000}"/>
    <cellStyle name="s_Hist Inputs_AM0909_ORÇ_2009" xfId="3692" xr:uid="{00000000-0005-0000-0000-0000D5160000}"/>
    <cellStyle name="s_Hist Inputs_AM0909_Pasta2" xfId="3693" xr:uid="{00000000-0005-0000-0000-0000D6160000}"/>
    <cellStyle name="s_Hist Inputs_Brenner" xfId="3694" xr:uid="{00000000-0005-0000-0000-0000D7160000}"/>
    <cellStyle name="s_Hist Inputs_Brenner_Comparativo VP FIN v1_So 2008" xfId="8153" xr:uid="{00000000-0005-0000-0000-0000D8160000}"/>
    <cellStyle name="s_Hist Inputs_Brenner_Comparativo VP MKT 2008 v1_So 2008" xfId="8154" xr:uid="{00000000-0005-0000-0000-0000D9160000}"/>
    <cellStyle name="s_Hist Inputs_Brenner_Comparativo VP TEC 2008 v1_So 2008" xfId="8155" xr:uid="{00000000-0005-0000-0000-0000DA160000}"/>
    <cellStyle name="s_Hist Inputs_Brenner_Comparativo VP TEC 2008_Luiz Sergio" xfId="8156" xr:uid="{00000000-0005-0000-0000-0000DB160000}"/>
    <cellStyle name="s_Hist Inputs_Brenner_Cópia de Modelo - Fluxo de Caixa Orcamento 09052009_V36_3" xfId="3695" xr:uid="{00000000-0005-0000-0000-0000DC160000}"/>
    <cellStyle name="s_Hist Inputs_Brenner_Fluxo de Caixa Orcamento FINAL_13052009" xfId="3696" xr:uid="{00000000-0005-0000-0000-0000DD160000}"/>
    <cellStyle name="s_Hist Inputs_Brenner_FM_dummyV4" xfId="3697" xr:uid="{00000000-0005-0000-0000-0000DE160000}"/>
    <cellStyle name="s_Hist Inputs_Brenner_lalur" xfId="3698" xr:uid="{00000000-0005-0000-0000-0000DF160000}"/>
    <cellStyle name="s_Hist Inputs_Brenner_Leasing_V3" xfId="3699" xr:uid="{00000000-0005-0000-0000-0000E0160000}"/>
    <cellStyle name="s_Hist Inputs_Brenner_MODELO PDP III" xfId="3700" xr:uid="{00000000-0005-0000-0000-0000E1160000}"/>
    <cellStyle name="s_Hist Inputs_Brenner_ORÇ_2009" xfId="3701" xr:uid="{00000000-0005-0000-0000-0000E2160000}"/>
    <cellStyle name="s_Hist Inputs_Brenner_Pasta2" xfId="3702" xr:uid="{00000000-0005-0000-0000-0000E3160000}"/>
    <cellStyle name="s_Hist Inputs_Comparativo VP FIN v1_So 2008" xfId="8157" xr:uid="{00000000-0005-0000-0000-0000E4160000}"/>
    <cellStyle name="s_Hist Inputs_Comparativo VP MKT 2008 v1_So 2008" xfId="8158" xr:uid="{00000000-0005-0000-0000-0000E5160000}"/>
    <cellStyle name="s_Hist Inputs_Comparativo VP TEC 2008 v1_So 2008" xfId="8159" xr:uid="{00000000-0005-0000-0000-0000E6160000}"/>
    <cellStyle name="s_Hist Inputs_Comparativo VP TEC 2008_Luiz Sergio" xfId="8160" xr:uid="{00000000-0005-0000-0000-0000E7160000}"/>
    <cellStyle name="s_Hist Inputs_Cópia de Modelo - Fluxo de Caixa Orcamento 09052009_V36_3" xfId="3703" xr:uid="{00000000-0005-0000-0000-0000E8160000}"/>
    <cellStyle name="s_Hist Inputs_Fluxo de Caixa Orcamento FINAL_13052009" xfId="3704" xr:uid="{00000000-0005-0000-0000-0000E9160000}"/>
    <cellStyle name="s_Hist Inputs_FM_dummyV4" xfId="3705" xr:uid="{00000000-0005-0000-0000-0000EA160000}"/>
    <cellStyle name="s_Hist Inputs_lalur" xfId="3706" xr:uid="{00000000-0005-0000-0000-0000EB160000}"/>
    <cellStyle name="s_Hist Inputs_Leasing_V3" xfId="3707" xr:uid="{00000000-0005-0000-0000-0000EC160000}"/>
    <cellStyle name="s_Hist Inputs_MODELO PDP III" xfId="3708" xr:uid="{00000000-0005-0000-0000-0000ED160000}"/>
    <cellStyle name="s_Hist Inputs_ORÇ_2009" xfId="3709" xr:uid="{00000000-0005-0000-0000-0000EE160000}"/>
    <cellStyle name="s_Hist Inputs_Pasta2" xfId="3710" xr:uid="{00000000-0005-0000-0000-0000EF160000}"/>
    <cellStyle name="s_IPO" xfId="3711" xr:uid="{00000000-0005-0000-0000-0000F0160000}"/>
    <cellStyle name="s_IPO_Comparativo VP FIN v1_So 2008" xfId="8161" xr:uid="{00000000-0005-0000-0000-0000F1160000}"/>
    <cellStyle name="s_IPO_Comparativo VP MKT 2008 v1_So 2008" xfId="8162" xr:uid="{00000000-0005-0000-0000-0000F2160000}"/>
    <cellStyle name="s_IPO_Comparativo VP TEC 2008 v1_So 2008" xfId="8163" xr:uid="{00000000-0005-0000-0000-0000F3160000}"/>
    <cellStyle name="s_IPO_Comparativo VP TEC 2008_Luiz Sergio" xfId="8164" xr:uid="{00000000-0005-0000-0000-0000F4160000}"/>
    <cellStyle name="s_IPO_Cópia de Modelo - Fluxo de Caixa Orcamento 09052009_V36_3" xfId="3712" xr:uid="{00000000-0005-0000-0000-0000F5160000}"/>
    <cellStyle name="s_IPO_Fluxo de Caixa Orcamento FINAL_13052009" xfId="3713" xr:uid="{00000000-0005-0000-0000-0000F6160000}"/>
    <cellStyle name="s_IPO_FM_dummyV4" xfId="3714" xr:uid="{00000000-0005-0000-0000-0000F7160000}"/>
    <cellStyle name="s_IPO_lalur" xfId="3715" xr:uid="{00000000-0005-0000-0000-0000F8160000}"/>
    <cellStyle name="s_IPO_Leasing_V3" xfId="3716" xr:uid="{00000000-0005-0000-0000-0000F9160000}"/>
    <cellStyle name="s_IPO_MODELO PDP III" xfId="3717" xr:uid="{00000000-0005-0000-0000-0000FA160000}"/>
    <cellStyle name="s_IPO_ORÇ_2009" xfId="3718" xr:uid="{00000000-0005-0000-0000-0000FB160000}"/>
    <cellStyle name="s_IPO_Pasta2" xfId="3719" xr:uid="{00000000-0005-0000-0000-0000FC160000}"/>
    <cellStyle name="s_IRR Sensitivity (2)" xfId="3720" xr:uid="{00000000-0005-0000-0000-0000FD160000}"/>
    <cellStyle name="s_IRR Sensitivity (2)_1" xfId="3721" xr:uid="{00000000-0005-0000-0000-0000FE160000}"/>
    <cellStyle name="s_IRR Sensitivity (2)_1_Comparativo VP FIN v1_So 2008" xfId="8165" xr:uid="{00000000-0005-0000-0000-0000FF160000}"/>
    <cellStyle name="s_IRR Sensitivity (2)_1_Comparativo VP MKT 2008 v1_So 2008" xfId="8166" xr:uid="{00000000-0005-0000-0000-000000170000}"/>
    <cellStyle name="s_IRR Sensitivity (2)_1_Comparativo VP TEC 2008 v1_So 2008" xfId="8167" xr:uid="{00000000-0005-0000-0000-000001170000}"/>
    <cellStyle name="s_IRR Sensitivity (2)_1_Comparativo VP TEC 2008_Luiz Sergio" xfId="8168" xr:uid="{00000000-0005-0000-0000-000002170000}"/>
    <cellStyle name="s_IRR Sensitivity (2)_1_Cópia de Modelo - Fluxo de Caixa Orcamento 09052009_V36_3" xfId="3722" xr:uid="{00000000-0005-0000-0000-000003170000}"/>
    <cellStyle name="s_IRR Sensitivity (2)_1_Fluxo de Caixa Orcamento FINAL_13052009" xfId="3723" xr:uid="{00000000-0005-0000-0000-000004170000}"/>
    <cellStyle name="s_IRR Sensitivity (2)_1_FM_dummyV4" xfId="3724" xr:uid="{00000000-0005-0000-0000-000005170000}"/>
    <cellStyle name="s_IRR Sensitivity (2)_1_lalur" xfId="3725" xr:uid="{00000000-0005-0000-0000-000006170000}"/>
    <cellStyle name="s_IRR Sensitivity (2)_1_Leasing_V3" xfId="3726" xr:uid="{00000000-0005-0000-0000-000007170000}"/>
    <cellStyle name="s_IRR Sensitivity (2)_1_MODELO PDP III" xfId="3727" xr:uid="{00000000-0005-0000-0000-000008170000}"/>
    <cellStyle name="s_IRR Sensitivity (2)_1_ORÇ_2009" xfId="3728" xr:uid="{00000000-0005-0000-0000-000009170000}"/>
    <cellStyle name="s_IRR Sensitivity (2)_1_Pasta2" xfId="3729" xr:uid="{00000000-0005-0000-0000-00000A170000}"/>
    <cellStyle name="s_IRR Sensitivity (2)_2" xfId="3730" xr:uid="{00000000-0005-0000-0000-00000B170000}"/>
    <cellStyle name="s_IRR Sensitivity (2)_2_Comparativo VP FIN v1_So 2008" xfId="8169" xr:uid="{00000000-0005-0000-0000-00000C170000}"/>
    <cellStyle name="s_IRR Sensitivity (2)_2_Comparativo VP MKT 2008 v1_So 2008" xfId="8170" xr:uid="{00000000-0005-0000-0000-00000D170000}"/>
    <cellStyle name="s_IRR Sensitivity (2)_2_Comparativo VP TEC 2008 v1_So 2008" xfId="8171" xr:uid="{00000000-0005-0000-0000-00000E170000}"/>
    <cellStyle name="s_IRR Sensitivity (2)_2_Comparativo VP TEC 2008_Luiz Sergio" xfId="8172" xr:uid="{00000000-0005-0000-0000-00000F170000}"/>
    <cellStyle name="s_IRR Sensitivity (2)_2_Cópia de Modelo - Fluxo de Caixa Orcamento 09052009_V36_3" xfId="3731" xr:uid="{00000000-0005-0000-0000-000010170000}"/>
    <cellStyle name="s_IRR Sensitivity (2)_2_Fluxo de Caixa Orcamento FINAL_13052009" xfId="3732" xr:uid="{00000000-0005-0000-0000-000011170000}"/>
    <cellStyle name="s_IRR Sensitivity (2)_2_FM_dummyV4" xfId="3733" xr:uid="{00000000-0005-0000-0000-000012170000}"/>
    <cellStyle name="s_IRR Sensitivity (2)_2_lalur" xfId="3734" xr:uid="{00000000-0005-0000-0000-000013170000}"/>
    <cellStyle name="s_IRR Sensitivity (2)_2_Leasing_V3" xfId="3735" xr:uid="{00000000-0005-0000-0000-000014170000}"/>
    <cellStyle name="s_IRR Sensitivity (2)_2_MODELO PDP III" xfId="3736" xr:uid="{00000000-0005-0000-0000-000015170000}"/>
    <cellStyle name="s_IRR Sensitivity (2)_2_ORÇ_2009" xfId="3737" xr:uid="{00000000-0005-0000-0000-000016170000}"/>
    <cellStyle name="s_IRR Sensitivity (2)_2_Pasta2" xfId="3738" xr:uid="{00000000-0005-0000-0000-000017170000}"/>
    <cellStyle name="s_IRR Sensitivity (2)_Comparativo VP FIN v1_So 2008" xfId="8173" xr:uid="{00000000-0005-0000-0000-000018170000}"/>
    <cellStyle name="s_IRR Sensitivity (2)_Comparativo VP MKT 2008 v1_So 2008" xfId="8174" xr:uid="{00000000-0005-0000-0000-000019170000}"/>
    <cellStyle name="s_IRR Sensitivity (2)_Comparativo VP TEC 2008 v1_So 2008" xfId="8175" xr:uid="{00000000-0005-0000-0000-00001A170000}"/>
    <cellStyle name="s_IRR Sensitivity (2)_Comparativo VP TEC 2008_Luiz Sergio" xfId="8176" xr:uid="{00000000-0005-0000-0000-00001B170000}"/>
    <cellStyle name="s_IRR Sensitivity (2)_Cópia de Modelo - Fluxo de Caixa Orcamento 09052009_V36_3" xfId="3739" xr:uid="{00000000-0005-0000-0000-00001C170000}"/>
    <cellStyle name="s_IRR Sensitivity (2)_Fluxo de Caixa Orcamento FINAL_13052009" xfId="3740" xr:uid="{00000000-0005-0000-0000-00001D170000}"/>
    <cellStyle name="s_IRR Sensitivity (2)_FM_dummyV4" xfId="3741" xr:uid="{00000000-0005-0000-0000-00001E170000}"/>
    <cellStyle name="s_IRR Sensitivity (2)_lalur" xfId="3742" xr:uid="{00000000-0005-0000-0000-00001F170000}"/>
    <cellStyle name="s_IRR Sensitivity (2)_Leasing_V3" xfId="3743" xr:uid="{00000000-0005-0000-0000-000020170000}"/>
    <cellStyle name="s_IRR Sensitivity (2)_MODELO PDP III" xfId="3744" xr:uid="{00000000-0005-0000-0000-000021170000}"/>
    <cellStyle name="s_IRR Sensitivity (2)_ORÇ_2009" xfId="3745" xr:uid="{00000000-0005-0000-0000-000022170000}"/>
    <cellStyle name="s_IRR Sensitivity (2)_Pasta2" xfId="3746" xr:uid="{00000000-0005-0000-0000-000023170000}"/>
    <cellStyle name="s_lalur" xfId="3747" xr:uid="{00000000-0005-0000-0000-000024170000}"/>
    <cellStyle name="s_LambSum_link_a" xfId="3748" xr:uid="{00000000-0005-0000-0000-000025170000}"/>
    <cellStyle name="s_LambSum_link_a_Comparativo VP FIN v1_So 2008" xfId="8177" xr:uid="{00000000-0005-0000-0000-000026170000}"/>
    <cellStyle name="s_LambSum_link_a_Comparativo VP MKT 2008 v1_So 2008" xfId="8178" xr:uid="{00000000-0005-0000-0000-000027170000}"/>
    <cellStyle name="s_LambSum_link_a_Comparativo VP TEC 2008 v1_So 2008" xfId="8179" xr:uid="{00000000-0005-0000-0000-000028170000}"/>
    <cellStyle name="s_LambSum_link_a_Comparativo VP TEC 2008_Luiz Sergio" xfId="8180" xr:uid="{00000000-0005-0000-0000-000029170000}"/>
    <cellStyle name="s_LambSum_link_a_Cópia de Modelo - Fluxo de Caixa Orcamento 09052009_V36_3" xfId="3749" xr:uid="{00000000-0005-0000-0000-00002A170000}"/>
    <cellStyle name="s_LambSum_link_a_Fluxo de Caixa Orcamento FINAL_13052009" xfId="3750" xr:uid="{00000000-0005-0000-0000-00002B170000}"/>
    <cellStyle name="s_LambSum_link_a_FM_dummyV4" xfId="3751" xr:uid="{00000000-0005-0000-0000-00002C170000}"/>
    <cellStyle name="s_LambSum_link_a_lalur" xfId="3752" xr:uid="{00000000-0005-0000-0000-00002D170000}"/>
    <cellStyle name="s_LambSum_link_a_Leasing_V3" xfId="3753" xr:uid="{00000000-0005-0000-0000-00002E170000}"/>
    <cellStyle name="s_LambSum_link_a_MODELO PDP III" xfId="3754" xr:uid="{00000000-0005-0000-0000-00002F170000}"/>
    <cellStyle name="s_LambSum_link_a_ORÇ_2009" xfId="3755" xr:uid="{00000000-0005-0000-0000-000030170000}"/>
    <cellStyle name="s_LambSum_link_a_Pasta2" xfId="3756" xr:uid="{00000000-0005-0000-0000-000031170000}"/>
    <cellStyle name="s_LBO" xfId="3757" xr:uid="{00000000-0005-0000-0000-000032170000}"/>
    <cellStyle name="s_LBO IRR" xfId="3758" xr:uid="{00000000-0005-0000-0000-000033170000}"/>
    <cellStyle name="s_LBO IRR_1" xfId="3759" xr:uid="{00000000-0005-0000-0000-000034170000}"/>
    <cellStyle name="s_LBO IRR_1_Comparativo VP FIN v1_So 2008" xfId="8181" xr:uid="{00000000-0005-0000-0000-000035170000}"/>
    <cellStyle name="s_LBO IRR_1_Comparativo VP MKT 2008 v1_So 2008" xfId="8182" xr:uid="{00000000-0005-0000-0000-000036170000}"/>
    <cellStyle name="s_LBO IRR_1_Comparativo VP TEC 2008 v1_So 2008" xfId="8183" xr:uid="{00000000-0005-0000-0000-000037170000}"/>
    <cellStyle name="s_LBO IRR_1_Comparativo VP TEC 2008_Luiz Sergio" xfId="8184" xr:uid="{00000000-0005-0000-0000-000038170000}"/>
    <cellStyle name="s_LBO IRR_1_Cópia de Modelo - Fluxo de Caixa Orcamento 09052009_V36_3" xfId="3760" xr:uid="{00000000-0005-0000-0000-000039170000}"/>
    <cellStyle name="s_LBO IRR_1_Fluxo de Caixa Orcamento FINAL_13052009" xfId="3761" xr:uid="{00000000-0005-0000-0000-00003A170000}"/>
    <cellStyle name="s_LBO IRR_1_FM_dummyV4" xfId="3762" xr:uid="{00000000-0005-0000-0000-00003B170000}"/>
    <cellStyle name="s_LBO IRR_1_lalur" xfId="3763" xr:uid="{00000000-0005-0000-0000-00003C170000}"/>
    <cellStyle name="s_LBO IRR_1_Leasing_V3" xfId="3764" xr:uid="{00000000-0005-0000-0000-00003D170000}"/>
    <cellStyle name="s_LBO IRR_1_MODELO PDP III" xfId="3765" xr:uid="{00000000-0005-0000-0000-00003E170000}"/>
    <cellStyle name="s_LBO IRR_1_ORÇ_2009" xfId="3766" xr:uid="{00000000-0005-0000-0000-00003F170000}"/>
    <cellStyle name="s_LBO IRR_1_Pasta2" xfId="3767" xr:uid="{00000000-0005-0000-0000-000040170000}"/>
    <cellStyle name="s_LBO IRR_2" xfId="3768" xr:uid="{00000000-0005-0000-0000-000041170000}"/>
    <cellStyle name="s_LBO IRR_2_Comparativo VP FIN v1_So 2008" xfId="8185" xr:uid="{00000000-0005-0000-0000-000042170000}"/>
    <cellStyle name="s_LBO IRR_2_Comparativo VP MKT 2008 v1_So 2008" xfId="8186" xr:uid="{00000000-0005-0000-0000-000043170000}"/>
    <cellStyle name="s_LBO IRR_2_Comparativo VP TEC 2008 v1_So 2008" xfId="8187" xr:uid="{00000000-0005-0000-0000-000044170000}"/>
    <cellStyle name="s_LBO IRR_2_Comparativo VP TEC 2008_Luiz Sergio" xfId="8188" xr:uid="{00000000-0005-0000-0000-000045170000}"/>
    <cellStyle name="s_LBO IRR_2_Cópia de Modelo - Fluxo de Caixa Orcamento 09052009_V36_3" xfId="3769" xr:uid="{00000000-0005-0000-0000-000046170000}"/>
    <cellStyle name="s_LBO IRR_2_Fluxo de Caixa Orcamento FINAL_13052009" xfId="3770" xr:uid="{00000000-0005-0000-0000-000047170000}"/>
    <cellStyle name="s_LBO IRR_2_FM_dummyV4" xfId="3771" xr:uid="{00000000-0005-0000-0000-000048170000}"/>
    <cellStyle name="s_LBO IRR_2_lalur" xfId="3772" xr:uid="{00000000-0005-0000-0000-000049170000}"/>
    <cellStyle name="s_LBO IRR_2_Leasing_V3" xfId="3773" xr:uid="{00000000-0005-0000-0000-00004A170000}"/>
    <cellStyle name="s_LBO IRR_2_MODELO PDP III" xfId="3774" xr:uid="{00000000-0005-0000-0000-00004B170000}"/>
    <cellStyle name="s_LBO IRR_2_ORÇ_2009" xfId="3775" xr:uid="{00000000-0005-0000-0000-00004C170000}"/>
    <cellStyle name="s_LBO IRR_2_Pasta2" xfId="3776" xr:uid="{00000000-0005-0000-0000-00004D170000}"/>
    <cellStyle name="s_LBO IRR_Comparativo VP FIN v1_So 2008" xfId="8189" xr:uid="{00000000-0005-0000-0000-00004E170000}"/>
    <cellStyle name="s_LBO IRR_Comparativo VP MKT 2008 v1_So 2008" xfId="8190" xr:uid="{00000000-0005-0000-0000-00004F170000}"/>
    <cellStyle name="s_LBO IRR_Comparativo VP TEC 2008 v1_So 2008" xfId="8191" xr:uid="{00000000-0005-0000-0000-000050170000}"/>
    <cellStyle name="s_LBO IRR_Comparativo VP TEC 2008_Luiz Sergio" xfId="8192" xr:uid="{00000000-0005-0000-0000-000051170000}"/>
    <cellStyle name="s_LBO IRR_Cópia de Modelo - Fluxo de Caixa Orcamento 09052009_V36_3" xfId="3777" xr:uid="{00000000-0005-0000-0000-000052170000}"/>
    <cellStyle name="s_LBO IRR_Fluxo de Caixa Orcamento FINAL_13052009" xfId="3778" xr:uid="{00000000-0005-0000-0000-000053170000}"/>
    <cellStyle name="s_LBO IRR_FM_dummyV4" xfId="3779" xr:uid="{00000000-0005-0000-0000-000054170000}"/>
    <cellStyle name="s_LBO IRR_lalur" xfId="3780" xr:uid="{00000000-0005-0000-0000-000055170000}"/>
    <cellStyle name="s_LBO IRR_Leasing_V3" xfId="3781" xr:uid="{00000000-0005-0000-0000-000056170000}"/>
    <cellStyle name="s_LBO IRR_MODELO PDP III" xfId="3782" xr:uid="{00000000-0005-0000-0000-000057170000}"/>
    <cellStyle name="s_LBO IRR_ORÇ_2009" xfId="3783" xr:uid="{00000000-0005-0000-0000-000058170000}"/>
    <cellStyle name="s_LBO IRR_Pasta2" xfId="3784" xr:uid="{00000000-0005-0000-0000-000059170000}"/>
    <cellStyle name="s_LBO Sens" xfId="3785" xr:uid="{00000000-0005-0000-0000-00005A170000}"/>
    <cellStyle name="s_LBO Sens_1" xfId="3786" xr:uid="{00000000-0005-0000-0000-00005B170000}"/>
    <cellStyle name="s_LBO Sens_1_Comparativo VP FIN v1_So 2008" xfId="8193" xr:uid="{00000000-0005-0000-0000-00005C170000}"/>
    <cellStyle name="s_LBO Sens_1_Comparativo VP MKT 2008 v1_So 2008" xfId="8194" xr:uid="{00000000-0005-0000-0000-00005D170000}"/>
    <cellStyle name="s_LBO Sens_1_Comparativo VP TEC 2008 v1_So 2008" xfId="8195" xr:uid="{00000000-0005-0000-0000-00005E170000}"/>
    <cellStyle name="s_LBO Sens_1_Comparativo VP TEC 2008_Luiz Sergio" xfId="8196" xr:uid="{00000000-0005-0000-0000-00005F170000}"/>
    <cellStyle name="s_LBO Sens_1_Cópia de Modelo - Fluxo de Caixa Orcamento 09052009_V36_3" xfId="3787" xr:uid="{00000000-0005-0000-0000-000060170000}"/>
    <cellStyle name="s_LBO Sens_1_Fluxo de Caixa Orcamento FINAL_13052009" xfId="3788" xr:uid="{00000000-0005-0000-0000-000061170000}"/>
    <cellStyle name="s_LBO Sens_1_FM_dummyV4" xfId="3789" xr:uid="{00000000-0005-0000-0000-000062170000}"/>
    <cellStyle name="s_LBO Sens_1_lalur" xfId="3790" xr:uid="{00000000-0005-0000-0000-000063170000}"/>
    <cellStyle name="s_LBO Sens_1_Leasing_V3" xfId="3791" xr:uid="{00000000-0005-0000-0000-000064170000}"/>
    <cellStyle name="s_LBO Sens_1_MODELO PDP III" xfId="3792" xr:uid="{00000000-0005-0000-0000-000065170000}"/>
    <cellStyle name="s_LBO Sens_1_ORÇ_2009" xfId="3793" xr:uid="{00000000-0005-0000-0000-000066170000}"/>
    <cellStyle name="s_LBO Sens_1_Pasta2" xfId="3794" xr:uid="{00000000-0005-0000-0000-000067170000}"/>
    <cellStyle name="s_LBO Sens_2" xfId="3795" xr:uid="{00000000-0005-0000-0000-000068170000}"/>
    <cellStyle name="s_LBO Sens_2_Comparativo VP FIN v1_So 2008" xfId="8197" xr:uid="{00000000-0005-0000-0000-000069170000}"/>
    <cellStyle name="s_LBO Sens_2_Comparativo VP MKT 2008 v1_So 2008" xfId="8198" xr:uid="{00000000-0005-0000-0000-00006A170000}"/>
    <cellStyle name="s_LBO Sens_2_Comparativo VP TEC 2008 v1_So 2008" xfId="8199" xr:uid="{00000000-0005-0000-0000-00006B170000}"/>
    <cellStyle name="s_LBO Sens_2_Comparativo VP TEC 2008_Luiz Sergio" xfId="8200" xr:uid="{00000000-0005-0000-0000-00006C170000}"/>
    <cellStyle name="s_LBO Sens_2_Cópia de Modelo - Fluxo de Caixa Orcamento 09052009_V36_3" xfId="3796" xr:uid="{00000000-0005-0000-0000-00006D170000}"/>
    <cellStyle name="s_LBO Sens_2_Fluxo de Caixa Orcamento FINAL_13052009" xfId="3797" xr:uid="{00000000-0005-0000-0000-00006E170000}"/>
    <cellStyle name="s_LBO Sens_2_FM_dummyV4" xfId="3798" xr:uid="{00000000-0005-0000-0000-00006F170000}"/>
    <cellStyle name="s_LBO Sens_2_lalur" xfId="3799" xr:uid="{00000000-0005-0000-0000-000070170000}"/>
    <cellStyle name="s_LBO Sens_2_Leasing_V3" xfId="3800" xr:uid="{00000000-0005-0000-0000-000071170000}"/>
    <cellStyle name="s_LBO Sens_2_MODELO PDP III" xfId="3801" xr:uid="{00000000-0005-0000-0000-000072170000}"/>
    <cellStyle name="s_LBO Sens_2_ORÇ_2009" xfId="3802" xr:uid="{00000000-0005-0000-0000-000073170000}"/>
    <cellStyle name="s_LBO Sens_2_Pasta2" xfId="3803" xr:uid="{00000000-0005-0000-0000-000074170000}"/>
    <cellStyle name="s_LBO Sens_Comparativo VP FIN v1_So 2008" xfId="8201" xr:uid="{00000000-0005-0000-0000-000075170000}"/>
    <cellStyle name="s_LBO Sens_Comparativo VP MKT 2008 v1_So 2008" xfId="8202" xr:uid="{00000000-0005-0000-0000-000076170000}"/>
    <cellStyle name="s_LBO Sens_Comparativo VP TEC 2008 v1_So 2008" xfId="8203" xr:uid="{00000000-0005-0000-0000-000077170000}"/>
    <cellStyle name="s_LBO Sens_Comparativo VP TEC 2008_Luiz Sergio" xfId="8204" xr:uid="{00000000-0005-0000-0000-000078170000}"/>
    <cellStyle name="s_LBO Sens_Cópia de Modelo - Fluxo de Caixa Orcamento 09052009_V36_3" xfId="3804" xr:uid="{00000000-0005-0000-0000-000079170000}"/>
    <cellStyle name="s_LBO Sens_Fluxo de Caixa Orcamento FINAL_13052009" xfId="3805" xr:uid="{00000000-0005-0000-0000-00007A170000}"/>
    <cellStyle name="s_LBO Sens_FM_dummyV4" xfId="3806" xr:uid="{00000000-0005-0000-0000-00007B170000}"/>
    <cellStyle name="s_LBO Sens_lalur" xfId="3807" xr:uid="{00000000-0005-0000-0000-00007C170000}"/>
    <cellStyle name="s_LBO Sens_Leasing_V3" xfId="3808" xr:uid="{00000000-0005-0000-0000-00007D170000}"/>
    <cellStyle name="s_LBO Sens_MODELO PDP III" xfId="3809" xr:uid="{00000000-0005-0000-0000-00007E170000}"/>
    <cellStyle name="s_LBO Sens_ORÇ_2009" xfId="3810" xr:uid="{00000000-0005-0000-0000-00007F170000}"/>
    <cellStyle name="s_LBO Sens_Pasta2" xfId="3811" xr:uid="{00000000-0005-0000-0000-000080170000}"/>
    <cellStyle name="s_LBO Summary" xfId="3812" xr:uid="{00000000-0005-0000-0000-000081170000}"/>
    <cellStyle name="s_LBO Summary_1" xfId="3813" xr:uid="{00000000-0005-0000-0000-000082170000}"/>
    <cellStyle name="s_LBO Summary_1_Comparativo VP FIN v1_So 2008" xfId="8205" xr:uid="{00000000-0005-0000-0000-000083170000}"/>
    <cellStyle name="s_LBO Summary_1_Comparativo VP MKT 2008 v1_So 2008" xfId="8206" xr:uid="{00000000-0005-0000-0000-000084170000}"/>
    <cellStyle name="s_LBO Summary_1_Comparativo VP TEC 2008 v1_So 2008" xfId="8207" xr:uid="{00000000-0005-0000-0000-000085170000}"/>
    <cellStyle name="s_LBO Summary_1_Comparativo VP TEC 2008_Luiz Sergio" xfId="8208" xr:uid="{00000000-0005-0000-0000-000086170000}"/>
    <cellStyle name="s_LBO Summary_1_Cópia de Modelo - Fluxo de Caixa Orcamento 09052009_V36_3" xfId="3814" xr:uid="{00000000-0005-0000-0000-000087170000}"/>
    <cellStyle name="s_LBO Summary_1_Fluxo de Caixa Orcamento FINAL_13052009" xfId="3815" xr:uid="{00000000-0005-0000-0000-000088170000}"/>
    <cellStyle name="s_LBO Summary_1_FM_dummyV4" xfId="3816" xr:uid="{00000000-0005-0000-0000-000089170000}"/>
    <cellStyle name="s_LBO Summary_1_lalur" xfId="3817" xr:uid="{00000000-0005-0000-0000-00008A170000}"/>
    <cellStyle name="s_LBO Summary_1_Leasing_V3" xfId="3818" xr:uid="{00000000-0005-0000-0000-00008B170000}"/>
    <cellStyle name="s_LBO Summary_1_Mary911" xfId="3819" xr:uid="{00000000-0005-0000-0000-00008C170000}"/>
    <cellStyle name="s_LBO Summary_1_Mary911_Comparativo VP FIN v1_So 2008" xfId="8209" xr:uid="{00000000-0005-0000-0000-00008D170000}"/>
    <cellStyle name="s_LBO Summary_1_Mary911_Comparativo VP MKT 2008 v1_So 2008" xfId="8210" xr:uid="{00000000-0005-0000-0000-00008E170000}"/>
    <cellStyle name="s_LBO Summary_1_Mary911_Comparativo VP TEC 2008 v1_So 2008" xfId="8211" xr:uid="{00000000-0005-0000-0000-00008F170000}"/>
    <cellStyle name="s_LBO Summary_1_Mary911_Comparativo VP TEC 2008_Luiz Sergio" xfId="8212" xr:uid="{00000000-0005-0000-0000-000090170000}"/>
    <cellStyle name="s_LBO Summary_1_Mary911_Cópia de Modelo - Fluxo de Caixa Orcamento 09052009_V36_3" xfId="3820" xr:uid="{00000000-0005-0000-0000-000091170000}"/>
    <cellStyle name="s_LBO Summary_1_Mary911_Fluxo de Caixa Orcamento FINAL_13052009" xfId="3821" xr:uid="{00000000-0005-0000-0000-000092170000}"/>
    <cellStyle name="s_LBO Summary_1_Mary911_FM_dummyV4" xfId="3822" xr:uid="{00000000-0005-0000-0000-000093170000}"/>
    <cellStyle name="s_LBO Summary_1_Mary911_lalur" xfId="3823" xr:uid="{00000000-0005-0000-0000-000094170000}"/>
    <cellStyle name="s_LBO Summary_1_Mary911_Leasing_V3" xfId="3824" xr:uid="{00000000-0005-0000-0000-000095170000}"/>
    <cellStyle name="s_LBO Summary_1_Mary911_MODELO PDP III" xfId="3825" xr:uid="{00000000-0005-0000-0000-000096170000}"/>
    <cellStyle name="s_LBO Summary_1_Mary911_ORÇ_2009" xfId="3826" xr:uid="{00000000-0005-0000-0000-000097170000}"/>
    <cellStyle name="s_LBO Summary_1_Mary911_Pasta2" xfId="3827" xr:uid="{00000000-0005-0000-0000-000098170000}"/>
    <cellStyle name="s_LBO Summary_1_MODELO PDP III" xfId="3828" xr:uid="{00000000-0005-0000-0000-000099170000}"/>
    <cellStyle name="s_LBO Summary_1_mona0915a" xfId="3829" xr:uid="{00000000-0005-0000-0000-00009A170000}"/>
    <cellStyle name="s_LBO Summary_1_mona0915a_Comparativo VP FIN v1_So 2008" xfId="8213" xr:uid="{00000000-0005-0000-0000-00009B170000}"/>
    <cellStyle name="s_LBO Summary_1_mona0915a_Comparativo VP MKT 2008 v1_So 2008" xfId="8214" xr:uid="{00000000-0005-0000-0000-00009C170000}"/>
    <cellStyle name="s_LBO Summary_1_mona0915a_Comparativo VP TEC 2008 v1_So 2008" xfId="8215" xr:uid="{00000000-0005-0000-0000-00009D170000}"/>
    <cellStyle name="s_LBO Summary_1_mona0915a_Comparativo VP TEC 2008_Luiz Sergio" xfId="8216" xr:uid="{00000000-0005-0000-0000-00009E170000}"/>
    <cellStyle name="s_LBO Summary_1_mona0915a_Cópia de Modelo - Fluxo de Caixa Orcamento 09052009_V36_3" xfId="3830" xr:uid="{00000000-0005-0000-0000-00009F170000}"/>
    <cellStyle name="s_LBO Summary_1_mona0915a_Fluxo de Caixa Orcamento FINAL_13052009" xfId="3831" xr:uid="{00000000-0005-0000-0000-0000A0170000}"/>
    <cellStyle name="s_LBO Summary_1_mona0915a_FM_dummyV4" xfId="3832" xr:uid="{00000000-0005-0000-0000-0000A1170000}"/>
    <cellStyle name="s_LBO Summary_1_mona0915a_lalur" xfId="3833" xr:uid="{00000000-0005-0000-0000-0000A2170000}"/>
    <cellStyle name="s_LBO Summary_1_mona0915a_Leasing_V3" xfId="3834" xr:uid="{00000000-0005-0000-0000-0000A3170000}"/>
    <cellStyle name="s_LBO Summary_1_mona0915a_MODELO PDP III" xfId="3835" xr:uid="{00000000-0005-0000-0000-0000A4170000}"/>
    <cellStyle name="s_LBO Summary_1_mona0915a_ORÇ_2009" xfId="3836" xr:uid="{00000000-0005-0000-0000-0000A5170000}"/>
    <cellStyle name="s_LBO Summary_1_mona0915a_Pasta2" xfId="3837" xr:uid="{00000000-0005-0000-0000-0000A6170000}"/>
    <cellStyle name="s_LBO Summary_1_mona0915b" xfId="3838" xr:uid="{00000000-0005-0000-0000-0000A7170000}"/>
    <cellStyle name="s_LBO Summary_1_mona0915b_Comparativo VP FIN v1_So 2008" xfId="8217" xr:uid="{00000000-0005-0000-0000-0000A8170000}"/>
    <cellStyle name="s_LBO Summary_1_mona0915b_Comparativo VP MKT 2008 v1_So 2008" xfId="8218" xr:uid="{00000000-0005-0000-0000-0000A9170000}"/>
    <cellStyle name="s_LBO Summary_1_mona0915b_Comparativo VP TEC 2008 v1_So 2008" xfId="8219" xr:uid="{00000000-0005-0000-0000-0000AA170000}"/>
    <cellStyle name="s_LBO Summary_1_mona0915b_Comparativo VP TEC 2008_Luiz Sergio" xfId="8220" xr:uid="{00000000-0005-0000-0000-0000AB170000}"/>
    <cellStyle name="s_LBO Summary_1_mona0915b_Cópia de Modelo - Fluxo de Caixa Orcamento 09052009_V36_3" xfId="3839" xr:uid="{00000000-0005-0000-0000-0000AC170000}"/>
    <cellStyle name="s_LBO Summary_1_mona0915b_Fluxo de Caixa Orcamento FINAL_13052009" xfId="3840" xr:uid="{00000000-0005-0000-0000-0000AD170000}"/>
    <cellStyle name="s_LBO Summary_1_mona0915b_FM_dummyV4" xfId="3841" xr:uid="{00000000-0005-0000-0000-0000AE170000}"/>
    <cellStyle name="s_LBO Summary_1_mona0915b_lalur" xfId="3842" xr:uid="{00000000-0005-0000-0000-0000AF170000}"/>
    <cellStyle name="s_LBO Summary_1_mona0915b_Leasing_V3" xfId="3843" xr:uid="{00000000-0005-0000-0000-0000B0170000}"/>
    <cellStyle name="s_LBO Summary_1_mona0915b_MODELO PDP III" xfId="3844" xr:uid="{00000000-0005-0000-0000-0000B1170000}"/>
    <cellStyle name="s_LBO Summary_1_mona0915b_ORÇ_2009" xfId="3845" xr:uid="{00000000-0005-0000-0000-0000B2170000}"/>
    <cellStyle name="s_LBO Summary_1_mona0915b_Pasta2" xfId="3846" xr:uid="{00000000-0005-0000-0000-0000B3170000}"/>
    <cellStyle name="s_LBO Summary_1_ORÇ_2009" xfId="3847" xr:uid="{00000000-0005-0000-0000-0000B4170000}"/>
    <cellStyle name="s_LBO Summary_1_Pasta2" xfId="3848" xr:uid="{00000000-0005-0000-0000-0000B5170000}"/>
    <cellStyle name="s_LBO Summary_2" xfId="3849" xr:uid="{00000000-0005-0000-0000-0000B6170000}"/>
    <cellStyle name="s_LBO Summary_2_AM0909" xfId="3850" xr:uid="{00000000-0005-0000-0000-0000B7170000}"/>
    <cellStyle name="s_LBO Summary_2_AM0909_Comparativo VP FIN v1_So 2008" xfId="8221" xr:uid="{00000000-0005-0000-0000-0000B8170000}"/>
    <cellStyle name="s_LBO Summary_2_AM0909_Comparativo VP MKT 2008 v1_So 2008" xfId="8222" xr:uid="{00000000-0005-0000-0000-0000B9170000}"/>
    <cellStyle name="s_LBO Summary_2_AM0909_Comparativo VP TEC 2008 v1_So 2008" xfId="8223" xr:uid="{00000000-0005-0000-0000-0000BA170000}"/>
    <cellStyle name="s_LBO Summary_2_AM0909_Comparativo VP TEC 2008_Luiz Sergio" xfId="8224" xr:uid="{00000000-0005-0000-0000-0000BB170000}"/>
    <cellStyle name="s_LBO Summary_2_AM0909_Cópia de Modelo - Fluxo de Caixa Orcamento 09052009_V36_3" xfId="3851" xr:uid="{00000000-0005-0000-0000-0000BC170000}"/>
    <cellStyle name="s_LBO Summary_2_AM0909_Fluxo de Caixa Orcamento FINAL_13052009" xfId="3852" xr:uid="{00000000-0005-0000-0000-0000BD170000}"/>
    <cellStyle name="s_LBO Summary_2_AM0909_FM_dummyV4" xfId="3853" xr:uid="{00000000-0005-0000-0000-0000BE170000}"/>
    <cellStyle name="s_LBO Summary_2_AM0909_lalur" xfId="3854" xr:uid="{00000000-0005-0000-0000-0000BF170000}"/>
    <cellStyle name="s_LBO Summary_2_AM0909_Leasing_V3" xfId="3855" xr:uid="{00000000-0005-0000-0000-0000C0170000}"/>
    <cellStyle name="s_LBO Summary_2_AM0909_MODELO PDP III" xfId="3856" xr:uid="{00000000-0005-0000-0000-0000C1170000}"/>
    <cellStyle name="s_LBO Summary_2_AM0909_ORÇ_2009" xfId="3857" xr:uid="{00000000-0005-0000-0000-0000C2170000}"/>
    <cellStyle name="s_LBO Summary_2_AM0909_Pasta2" xfId="3858" xr:uid="{00000000-0005-0000-0000-0000C3170000}"/>
    <cellStyle name="s_LBO Summary_2_Brenner" xfId="3859" xr:uid="{00000000-0005-0000-0000-0000C4170000}"/>
    <cellStyle name="s_LBO Summary_2_Brenner_Comparativo VP FIN v1_So 2008" xfId="8225" xr:uid="{00000000-0005-0000-0000-0000C5170000}"/>
    <cellStyle name="s_LBO Summary_2_Brenner_Comparativo VP MKT 2008 v1_So 2008" xfId="8226" xr:uid="{00000000-0005-0000-0000-0000C6170000}"/>
    <cellStyle name="s_LBO Summary_2_Brenner_Comparativo VP TEC 2008 v1_So 2008" xfId="8227" xr:uid="{00000000-0005-0000-0000-0000C7170000}"/>
    <cellStyle name="s_LBO Summary_2_Brenner_Comparativo VP TEC 2008_Luiz Sergio" xfId="8228" xr:uid="{00000000-0005-0000-0000-0000C8170000}"/>
    <cellStyle name="s_LBO Summary_2_Brenner_Cópia de Modelo - Fluxo de Caixa Orcamento 09052009_V36_3" xfId="3860" xr:uid="{00000000-0005-0000-0000-0000C9170000}"/>
    <cellStyle name="s_LBO Summary_2_Brenner_Fluxo de Caixa Orcamento FINAL_13052009" xfId="3861" xr:uid="{00000000-0005-0000-0000-0000CA170000}"/>
    <cellStyle name="s_LBO Summary_2_Brenner_FM_dummyV4" xfId="3862" xr:uid="{00000000-0005-0000-0000-0000CB170000}"/>
    <cellStyle name="s_LBO Summary_2_Brenner_lalur" xfId="3863" xr:uid="{00000000-0005-0000-0000-0000CC170000}"/>
    <cellStyle name="s_LBO Summary_2_Brenner_Leasing_V3" xfId="3864" xr:uid="{00000000-0005-0000-0000-0000CD170000}"/>
    <cellStyle name="s_LBO Summary_2_Brenner_MODELO PDP III" xfId="3865" xr:uid="{00000000-0005-0000-0000-0000CE170000}"/>
    <cellStyle name="s_LBO Summary_2_Brenner_ORÇ_2009" xfId="3866" xr:uid="{00000000-0005-0000-0000-0000CF170000}"/>
    <cellStyle name="s_LBO Summary_2_Brenner_Pasta2" xfId="3867" xr:uid="{00000000-0005-0000-0000-0000D0170000}"/>
    <cellStyle name="s_LBO Summary_2_Comparativo VP FIN v1_So 2008" xfId="8229" xr:uid="{00000000-0005-0000-0000-0000D1170000}"/>
    <cellStyle name="s_LBO Summary_2_Comparativo VP MKT 2008 v1_So 2008" xfId="8230" xr:uid="{00000000-0005-0000-0000-0000D2170000}"/>
    <cellStyle name="s_LBO Summary_2_Comparativo VP TEC 2008 v1_So 2008" xfId="8231" xr:uid="{00000000-0005-0000-0000-0000D3170000}"/>
    <cellStyle name="s_LBO Summary_2_Comparativo VP TEC 2008_Luiz Sergio" xfId="8232" xr:uid="{00000000-0005-0000-0000-0000D4170000}"/>
    <cellStyle name="s_LBO Summary_2_Cópia de Modelo - Fluxo de Caixa Orcamento 09052009_V36_3" xfId="3868" xr:uid="{00000000-0005-0000-0000-0000D5170000}"/>
    <cellStyle name="s_LBO Summary_2_Fluxo de Caixa Orcamento FINAL_13052009" xfId="3869" xr:uid="{00000000-0005-0000-0000-0000D6170000}"/>
    <cellStyle name="s_LBO Summary_2_FM_dummyV4" xfId="3870" xr:uid="{00000000-0005-0000-0000-0000D7170000}"/>
    <cellStyle name="s_LBO Summary_2_lalur" xfId="3871" xr:uid="{00000000-0005-0000-0000-0000D8170000}"/>
    <cellStyle name="s_LBO Summary_2_Leasing_V3" xfId="3872" xr:uid="{00000000-0005-0000-0000-0000D9170000}"/>
    <cellStyle name="s_LBO Summary_2_MODELO PDP III" xfId="3873" xr:uid="{00000000-0005-0000-0000-0000DA170000}"/>
    <cellStyle name="s_LBO Summary_2_ORÇ_2009" xfId="3874" xr:uid="{00000000-0005-0000-0000-0000DB170000}"/>
    <cellStyle name="s_LBO Summary_2_Pasta2" xfId="3875" xr:uid="{00000000-0005-0000-0000-0000DC170000}"/>
    <cellStyle name="s_LBO Summary_AM0909" xfId="3876" xr:uid="{00000000-0005-0000-0000-0000DD170000}"/>
    <cellStyle name="s_LBO Summary_AM0909_Comparativo VP FIN v1_So 2008" xfId="8233" xr:uid="{00000000-0005-0000-0000-0000DE170000}"/>
    <cellStyle name="s_LBO Summary_AM0909_Comparativo VP MKT 2008 v1_So 2008" xfId="8234" xr:uid="{00000000-0005-0000-0000-0000DF170000}"/>
    <cellStyle name="s_LBO Summary_AM0909_Comparativo VP TEC 2008 v1_So 2008" xfId="8235" xr:uid="{00000000-0005-0000-0000-0000E0170000}"/>
    <cellStyle name="s_LBO Summary_AM0909_Comparativo VP TEC 2008_Luiz Sergio" xfId="8236" xr:uid="{00000000-0005-0000-0000-0000E1170000}"/>
    <cellStyle name="s_LBO Summary_AM0909_Cópia de Modelo - Fluxo de Caixa Orcamento 09052009_V36_3" xfId="3877" xr:uid="{00000000-0005-0000-0000-0000E2170000}"/>
    <cellStyle name="s_LBO Summary_AM0909_Fluxo de Caixa Orcamento FINAL_13052009" xfId="3878" xr:uid="{00000000-0005-0000-0000-0000E3170000}"/>
    <cellStyle name="s_LBO Summary_AM0909_FM_dummyV4" xfId="3879" xr:uid="{00000000-0005-0000-0000-0000E4170000}"/>
    <cellStyle name="s_LBO Summary_AM0909_lalur" xfId="3880" xr:uid="{00000000-0005-0000-0000-0000E5170000}"/>
    <cellStyle name="s_LBO Summary_AM0909_Leasing_V3" xfId="3881" xr:uid="{00000000-0005-0000-0000-0000E6170000}"/>
    <cellStyle name="s_LBO Summary_AM0909_MODELO PDP III" xfId="3882" xr:uid="{00000000-0005-0000-0000-0000E7170000}"/>
    <cellStyle name="s_LBO Summary_AM0909_ORÇ_2009" xfId="3883" xr:uid="{00000000-0005-0000-0000-0000E8170000}"/>
    <cellStyle name="s_LBO Summary_AM0909_Pasta2" xfId="3884" xr:uid="{00000000-0005-0000-0000-0000E9170000}"/>
    <cellStyle name="s_LBO Summary_Brenner" xfId="3885" xr:uid="{00000000-0005-0000-0000-0000EA170000}"/>
    <cellStyle name="s_LBO Summary_Brenner_Comparativo VP FIN v1_So 2008" xfId="8237" xr:uid="{00000000-0005-0000-0000-0000EB170000}"/>
    <cellStyle name="s_LBO Summary_Brenner_Comparativo VP MKT 2008 v1_So 2008" xfId="8238" xr:uid="{00000000-0005-0000-0000-0000EC170000}"/>
    <cellStyle name="s_LBO Summary_Brenner_Comparativo VP TEC 2008 v1_So 2008" xfId="8239" xr:uid="{00000000-0005-0000-0000-0000ED170000}"/>
    <cellStyle name="s_LBO Summary_Brenner_Comparativo VP TEC 2008_Luiz Sergio" xfId="8240" xr:uid="{00000000-0005-0000-0000-0000EE170000}"/>
    <cellStyle name="s_LBO Summary_Brenner_Cópia de Modelo - Fluxo de Caixa Orcamento 09052009_V36_3" xfId="3886" xr:uid="{00000000-0005-0000-0000-0000EF170000}"/>
    <cellStyle name="s_LBO Summary_Brenner_Fluxo de Caixa Orcamento FINAL_13052009" xfId="3887" xr:uid="{00000000-0005-0000-0000-0000F0170000}"/>
    <cellStyle name="s_LBO Summary_Brenner_FM_dummyV4" xfId="3888" xr:uid="{00000000-0005-0000-0000-0000F1170000}"/>
    <cellStyle name="s_LBO Summary_Brenner_lalur" xfId="3889" xr:uid="{00000000-0005-0000-0000-0000F2170000}"/>
    <cellStyle name="s_LBO Summary_Brenner_Leasing_V3" xfId="3890" xr:uid="{00000000-0005-0000-0000-0000F3170000}"/>
    <cellStyle name="s_LBO Summary_Brenner_MODELO PDP III" xfId="3891" xr:uid="{00000000-0005-0000-0000-0000F4170000}"/>
    <cellStyle name="s_LBO Summary_Brenner_ORÇ_2009" xfId="3892" xr:uid="{00000000-0005-0000-0000-0000F5170000}"/>
    <cellStyle name="s_LBO Summary_Brenner_Pasta2" xfId="3893" xr:uid="{00000000-0005-0000-0000-0000F6170000}"/>
    <cellStyle name="s_LBO Summary_Comparativo VP FIN v1_So 2008" xfId="8241" xr:uid="{00000000-0005-0000-0000-0000F7170000}"/>
    <cellStyle name="s_LBO Summary_Comparativo VP MKT 2008 v1_So 2008" xfId="8242" xr:uid="{00000000-0005-0000-0000-0000F8170000}"/>
    <cellStyle name="s_LBO Summary_Comparativo VP TEC 2008 v1_So 2008" xfId="8243" xr:uid="{00000000-0005-0000-0000-0000F9170000}"/>
    <cellStyle name="s_LBO Summary_Comparativo VP TEC 2008_Luiz Sergio" xfId="8244" xr:uid="{00000000-0005-0000-0000-0000FA170000}"/>
    <cellStyle name="s_LBO Summary_Cópia de Modelo - Fluxo de Caixa Orcamento 09052009_V36_3" xfId="3894" xr:uid="{00000000-0005-0000-0000-0000FB170000}"/>
    <cellStyle name="s_LBO Summary_Fluxo de Caixa Orcamento FINAL_13052009" xfId="3895" xr:uid="{00000000-0005-0000-0000-0000FC170000}"/>
    <cellStyle name="s_LBO Summary_FM_dummyV4" xfId="3896" xr:uid="{00000000-0005-0000-0000-0000FD170000}"/>
    <cellStyle name="s_LBO Summary_lalur" xfId="3897" xr:uid="{00000000-0005-0000-0000-0000FE170000}"/>
    <cellStyle name="s_LBO Summary_Leasing_V3" xfId="3898" xr:uid="{00000000-0005-0000-0000-0000FF170000}"/>
    <cellStyle name="s_LBO Summary_Mary911" xfId="3899" xr:uid="{00000000-0005-0000-0000-000000180000}"/>
    <cellStyle name="s_LBO Summary_Mary911_Comparativo VP FIN v1_So 2008" xfId="8245" xr:uid="{00000000-0005-0000-0000-000001180000}"/>
    <cellStyle name="s_LBO Summary_Mary911_Comparativo VP MKT 2008 v1_So 2008" xfId="8246" xr:uid="{00000000-0005-0000-0000-000002180000}"/>
    <cellStyle name="s_LBO Summary_Mary911_Comparativo VP TEC 2008 v1_So 2008" xfId="8247" xr:uid="{00000000-0005-0000-0000-000003180000}"/>
    <cellStyle name="s_LBO Summary_Mary911_Comparativo VP TEC 2008_Luiz Sergio" xfId="8248" xr:uid="{00000000-0005-0000-0000-000004180000}"/>
    <cellStyle name="s_LBO Summary_Mary911_Cópia de Modelo - Fluxo de Caixa Orcamento 09052009_V36_3" xfId="3900" xr:uid="{00000000-0005-0000-0000-000005180000}"/>
    <cellStyle name="s_LBO Summary_Mary911_Fluxo de Caixa Orcamento FINAL_13052009" xfId="3901" xr:uid="{00000000-0005-0000-0000-000006180000}"/>
    <cellStyle name="s_LBO Summary_Mary911_FM_dummyV4" xfId="3902" xr:uid="{00000000-0005-0000-0000-000007180000}"/>
    <cellStyle name="s_LBO Summary_Mary911_lalur" xfId="3903" xr:uid="{00000000-0005-0000-0000-000008180000}"/>
    <cellStyle name="s_LBO Summary_Mary911_Leasing_V3" xfId="3904" xr:uid="{00000000-0005-0000-0000-000009180000}"/>
    <cellStyle name="s_LBO Summary_Mary911_MODELO PDP III" xfId="3905" xr:uid="{00000000-0005-0000-0000-00000A180000}"/>
    <cellStyle name="s_LBO Summary_Mary911_ORÇ_2009" xfId="3906" xr:uid="{00000000-0005-0000-0000-00000B180000}"/>
    <cellStyle name="s_LBO Summary_Mary911_Pasta2" xfId="3907" xr:uid="{00000000-0005-0000-0000-00000C180000}"/>
    <cellStyle name="s_LBO Summary_MODELO PDP III" xfId="3908" xr:uid="{00000000-0005-0000-0000-00000D180000}"/>
    <cellStyle name="s_LBO Summary_mona0915a" xfId="3909" xr:uid="{00000000-0005-0000-0000-00000E180000}"/>
    <cellStyle name="s_LBO Summary_mona0915a_Comparativo VP FIN v1_So 2008" xfId="8249" xr:uid="{00000000-0005-0000-0000-00000F180000}"/>
    <cellStyle name="s_LBO Summary_mona0915a_Comparativo VP MKT 2008 v1_So 2008" xfId="8250" xr:uid="{00000000-0005-0000-0000-000010180000}"/>
    <cellStyle name="s_LBO Summary_mona0915a_Comparativo VP TEC 2008 v1_So 2008" xfId="8251" xr:uid="{00000000-0005-0000-0000-000011180000}"/>
    <cellStyle name="s_LBO Summary_mona0915a_Comparativo VP TEC 2008_Luiz Sergio" xfId="8252" xr:uid="{00000000-0005-0000-0000-000012180000}"/>
    <cellStyle name="s_LBO Summary_mona0915a_Cópia de Modelo - Fluxo de Caixa Orcamento 09052009_V36_3" xfId="3910" xr:uid="{00000000-0005-0000-0000-000013180000}"/>
    <cellStyle name="s_LBO Summary_mona0915a_Fluxo de Caixa Orcamento FINAL_13052009" xfId="3911" xr:uid="{00000000-0005-0000-0000-000014180000}"/>
    <cellStyle name="s_LBO Summary_mona0915a_FM_dummyV4" xfId="3912" xr:uid="{00000000-0005-0000-0000-000015180000}"/>
    <cellStyle name="s_LBO Summary_mona0915a_lalur" xfId="3913" xr:uid="{00000000-0005-0000-0000-000016180000}"/>
    <cellStyle name="s_LBO Summary_mona0915a_Leasing_V3" xfId="3914" xr:uid="{00000000-0005-0000-0000-000017180000}"/>
    <cellStyle name="s_LBO Summary_mona0915a_MODELO PDP III" xfId="3915" xr:uid="{00000000-0005-0000-0000-000018180000}"/>
    <cellStyle name="s_LBO Summary_mona0915a_ORÇ_2009" xfId="3916" xr:uid="{00000000-0005-0000-0000-000019180000}"/>
    <cellStyle name="s_LBO Summary_mona0915a_Pasta2" xfId="3917" xr:uid="{00000000-0005-0000-0000-00001A180000}"/>
    <cellStyle name="s_LBO Summary_mona0915b" xfId="3918" xr:uid="{00000000-0005-0000-0000-00001B180000}"/>
    <cellStyle name="s_LBO Summary_mona0915b_Comparativo VP FIN v1_So 2008" xfId="8253" xr:uid="{00000000-0005-0000-0000-00001C180000}"/>
    <cellStyle name="s_LBO Summary_mona0915b_Comparativo VP MKT 2008 v1_So 2008" xfId="8254" xr:uid="{00000000-0005-0000-0000-00001D180000}"/>
    <cellStyle name="s_LBO Summary_mona0915b_Comparativo VP TEC 2008 v1_So 2008" xfId="8255" xr:uid="{00000000-0005-0000-0000-00001E180000}"/>
    <cellStyle name="s_LBO Summary_mona0915b_Comparativo VP TEC 2008_Luiz Sergio" xfId="8256" xr:uid="{00000000-0005-0000-0000-00001F180000}"/>
    <cellStyle name="s_LBO Summary_mona0915b_Cópia de Modelo - Fluxo de Caixa Orcamento 09052009_V36_3" xfId="3919" xr:uid="{00000000-0005-0000-0000-000020180000}"/>
    <cellStyle name="s_LBO Summary_mona0915b_Fluxo de Caixa Orcamento FINAL_13052009" xfId="3920" xr:uid="{00000000-0005-0000-0000-000021180000}"/>
    <cellStyle name="s_LBO Summary_mona0915b_FM_dummyV4" xfId="3921" xr:uid="{00000000-0005-0000-0000-000022180000}"/>
    <cellStyle name="s_LBO Summary_mona0915b_lalur" xfId="3922" xr:uid="{00000000-0005-0000-0000-000023180000}"/>
    <cellStyle name="s_LBO Summary_mona0915b_Leasing_V3" xfId="3923" xr:uid="{00000000-0005-0000-0000-000024180000}"/>
    <cellStyle name="s_LBO Summary_mona0915b_MODELO PDP III" xfId="3924" xr:uid="{00000000-0005-0000-0000-000025180000}"/>
    <cellStyle name="s_LBO Summary_mona0915b_ORÇ_2009" xfId="3925" xr:uid="{00000000-0005-0000-0000-000026180000}"/>
    <cellStyle name="s_LBO Summary_mona0915b_Pasta2" xfId="3926" xr:uid="{00000000-0005-0000-0000-000027180000}"/>
    <cellStyle name="s_LBO Summary_ORÇ_2009" xfId="3927" xr:uid="{00000000-0005-0000-0000-000028180000}"/>
    <cellStyle name="s_LBO Summary_Pasta2" xfId="3928" xr:uid="{00000000-0005-0000-0000-000029180000}"/>
    <cellStyle name="s_LBO_1" xfId="3929" xr:uid="{00000000-0005-0000-0000-00002A180000}"/>
    <cellStyle name="s_LBO_1_Comparativo VP FIN v1_So 2008" xfId="8257" xr:uid="{00000000-0005-0000-0000-00002B180000}"/>
    <cellStyle name="s_LBO_1_Comparativo VP MKT 2008 v1_So 2008" xfId="8258" xr:uid="{00000000-0005-0000-0000-00002C180000}"/>
    <cellStyle name="s_LBO_1_Comparativo VP TEC 2008 v1_So 2008" xfId="8259" xr:uid="{00000000-0005-0000-0000-00002D180000}"/>
    <cellStyle name="s_LBO_1_Comparativo VP TEC 2008_Luiz Sergio" xfId="8260" xr:uid="{00000000-0005-0000-0000-00002E180000}"/>
    <cellStyle name="s_LBO_1_Cópia de Modelo - Fluxo de Caixa Orcamento 09052009_V36_3" xfId="3930" xr:uid="{00000000-0005-0000-0000-00002F180000}"/>
    <cellStyle name="s_LBO_1_Fluxo de Caixa Orcamento FINAL_13052009" xfId="3931" xr:uid="{00000000-0005-0000-0000-000030180000}"/>
    <cellStyle name="s_LBO_1_FM_dummyV4" xfId="3932" xr:uid="{00000000-0005-0000-0000-000031180000}"/>
    <cellStyle name="s_LBO_1_lalur" xfId="3933" xr:uid="{00000000-0005-0000-0000-000032180000}"/>
    <cellStyle name="s_LBO_1_Leasing_V3" xfId="3934" xr:uid="{00000000-0005-0000-0000-000033180000}"/>
    <cellStyle name="s_LBO_1_MODELO PDP III" xfId="3935" xr:uid="{00000000-0005-0000-0000-000034180000}"/>
    <cellStyle name="s_LBO_1_ORÇ_2009" xfId="3936" xr:uid="{00000000-0005-0000-0000-000035180000}"/>
    <cellStyle name="s_LBO_1_Pasta2" xfId="3937" xr:uid="{00000000-0005-0000-0000-000036180000}"/>
    <cellStyle name="s_LBO_2" xfId="3938" xr:uid="{00000000-0005-0000-0000-000037180000}"/>
    <cellStyle name="s_LBO_2_Comparativo VP FIN v1_So 2008" xfId="8261" xr:uid="{00000000-0005-0000-0000-000038180000}"/>
    <cellStyle name="s_LBO_2_Comparativo VP MKT 2008 v1_So 2008" xfId="8262" xr:uid="{00000000-0005-0000-0000-000039180000}"/>
    <cellStyle name="s_LBO_2_Comparativo VP TEC 2008 v1_So 2008" xfId="8263" xr:uid="{00000000-0005-0000-0000-00003A180000}"/>
    <cellStyle name="s_LBO_2_Comparativo VP TEC 2008_Luiz Sergio" xfId="8264" xr:uid="{00000000-0005-0000-0000-00003B180000}"/>
    <cellStyle name="s_LBO_2_Cópia de Modelo - Fluxo de Caixa Orcamento 09052009_V36_3" xfId="3939" xr:uid="{00000000-0005-0000-0000-00003C180000}"/>
    <cellStyle name="s_LBO_2_Fluxo de Caixa Orcamento FINAL_13052009" xfId="3940" xr:uid="{00000000-0005-0000-0000-00003D180000}"/>
    <cellStyle name="s_LBO_2_FM_dummyV4" xfId="3941" xr:uid="{00000000-0005-0000-0000-00003E180000}"/>
    <cellStyle name="s_LBO_2_lalur" xfId="3942" xr:uid="{00000000-0005-0000-0000-00003F180000}"/>
    <cellStyle name="s_LBO_2_Leasing_V3" xfId="3943" xr:uid="{00000000-0005-0000-0000-000040180000}"/>
    <cellStyle name="s_LBO_2_MODELO PDP III" xfId="3944" xr:uid="{00000000-0005-0000-0000-000041180000}"/>
    <cellStyle name="s_LBO_2_ORÇ_2009" xfId="3945" xr:uid="{00000000-0005-0000-0000-000042180000}"/>
    <cellStyle name="s_LBO_2_Pasta2" xfId="3946" xr:uid="{00000000-0005-0000-0000-000043180000}"/>
    <cellStyle name="s_LBO_Comparativo VP FIN v1_So 2008" xfId="8265" xr:uid="{00000000-0005-0000-0000-000044180000}"/>
    <cellStyle name="s_LBO_Comparativo VP MKT 2008 v1_So 2008" xfId="8266" xr:uid="{00000000-0005-0000-0000-000045180000}"/>
    <cellStyle name="s_LBO_Comparativo VP TEC 2008 v1_So 2008" xfId="8267" xr:uid="{00000000-0005-0000-0000-000046180000}"/>
    <cellStyle name="s_LBO_Comparativo VP TEC 2008_Luiz Sergio" xfId="8268" xr:uid="{00000000-0005-0000-0000-000047180000}"/>
    <cellStyle name="s_LBO_Cópia de Modelo - Fluxo de Caixa Orcamento 09052009_V36_3" xfId="3947" xr:uid="{00000000-0005-0000-0000-000048180000}"/>
    <cellStyle name="s_LBO_Fluxo de Caixa Orcamento FINAL_13052009" xfId="3948" xr:uid="{00000000-0005-0000-0000-000049180000}"/>
    <cellStyle name="s_LBO_FM_dummyV4" xfId="3949" xr:uid="{00000000-0005-0000-0000-00004A180000}"/>
    <cellStyle name="s_LBO_lalur" xfId="3950" xr:uid="{00000000-0005-0000-0000-00004B180000}"/>
    <cellStyle name="s_LBO_Leasing_V3" xfId="3951" xr:uid="{00000000-0005-0000-0000-00004C180000}"/>
    <cellStyle name="s_LBO_MODELO PDP III" xfId="3952" xr:uid="{00000000-0005-0000-0000-00004D180000}"/>
    <cellStyle name="s_LBO_ORÇ_2009" xfId="3953" xr:uid="{00000000-0005-0000-0000-00004E180000}"/>
    <cellStyle name="s_LBO_Pasta2" xfId="3954" xr:uid="{00000000-0005-0000-0000-00004F180000}"/>
    <cellStyle name="s_Leasing_V3" xfId="3955" xr:uid="{00000000-0005-0000-0000-000050180000}"/>
    <cellStyle name="s_Limites x Garantias" xfId="3956" xr:uid="{00000000-0005-0000-0000-000051180000}"/>
    <cellStyle name="s_Limites x Garantias_Cópia de Modelo - Fluxo de Caixa Orcamento 09052009_V36_3" xfId="3957" xr:uid="{00000000-0005-0000-0000-000052180000}"/>
    <cellStyle name="s_Limites x Garantias_Fluxo de Caixa Orcamento FINAL_13052009" xfId="3958" xr:uid="{00000000-0005-0000-0000-000053180000}"/>
    <cellStyle name="s_Limites x Garantias_Liquidez" xfId="3959" xr:uid="{00000000-0005-0000-0000-000054180000}"/>
    <cellStyle name="s_Limites x Garantias_Liquidez_Cópia de Modelo - Fluxo de Caixa Orcamento 09052009_V36_3" xfId="3960" xr:uid="{00000000-0005-0000-0000-000055180000}"/>
    <cellStyle name="s_Limites x Garantias_Liquidez_Fluxo de Caixa Orcamento FINAL_13052009" xfId="3961" xr:uid="{00000000-0005-0000-0000-000056180000}"/>
    <cellStyle name="s_Limites x Garantias_Liquidez_Pasta2" xfId="3962" xr:uid="{00000000-0005-0000-0000-000057180000}"/>
    <cellStyle name="s_Limites x Garantias_Pasta2" xfId="3963" xr:uid="{00000000-0005-0000-0000-000058180000}"/>
    <cellStyle name="s_Limites x Garantias_Statement Sky - Finance" xfId="3964" xr:uid="{00000000-0005-0000-0000-000059180000}"/>
    <cellStyle name="s_Mango Merger" xfId="3965" xr:uid="{00000000-0005-0000-0000-00005A180000}"/>
    <cellStyle name="s_Mango Merger 3" xfId="3966" xr:uid="{00000000-0005-0000-0000-00005B180000}"/>
    <cellStyle name="s_Mango Merger 3_1" xfId="3967" xr:uid="{00000000-0005-0000-0000-00005C180000}"/>
    <cellStyle name="s_Mango Merger 3_1_Comparativo VP FIN v1_So 2008" xfId="8269" xr:uid="{00000000-0005-0000-0000-00005D180000}"/>
    <cellStyle name="s_Mango Merger 3_1_Comparativo VP MKT 2008 v1_So 2008" xfId="8270" xr:uid="{00000000-0005-0000-0000-00005E180000}"/>
    <cellStyle name="s_Mango Merger 3_1_Comparativo VP TEC 2008 v1_So 2008" xfId="8271" xr:uid="{00000000-0005-0000-0000-00005F180000}"/>
    <cellStyle name="s_Mango Merger 3_1_Comparativo VP TEC 2008_Luiz Sergio" xfId="8272" xr:uid="{00000000-0005-0000-0000-000060180000}"/>
    <cellStyle name="s_Mango Merger 3_1_Cópia de Modelo - Fluxo de Caixa Orcamento 09052009_V36_3" xfId="3968" xr:uid="{00000000-0005-0000-0000-000061180000}"/>
    <cellStyle name="s_Mango Merger 3_1_Fluxo de Caixa Orcamento FINAL_13052009" xfId="3969" xr:uid="{00000000-0005-0000-0000-000062180000}"/>
    <cellStyle name="s_Mango Merger 3_1_FM_dummyV4" xfId="3970" xr:uid="{00000000-0005-0000-0000-000063180000}"/>
    <cellStyle name="s_Mango Merger 3_1_lalur" xfId="3971" xr:uid="{00000000-0005-0000-0000-000064180000}"/>
    <cellStyle name="s_Mango Merger 3_1_Leasing_V3" xfId="3972" xr:uid="{00000000-0005-0000-0000-000065180000}"/>
    <cellStyle name="s_Mango Merger 3_1_MODELO PDP III" xfId="3973" xr:uid="{00000000-0005-0000-0000-000066180000}"/>
    <cellStyle name="s_Mango Merger 3_1_ORÇ_2009" xfId="3974" xr:uid="{00000000-0005-0000-0000-000067180000}"/>
    <cellStyle name="s_Mango Merger 3_1_Pasta2" xfId="3975" xr:uid="{00000000-0005-0000-0000-000068180000}"/>
    <cellStyle name="s_Mango Merger 3_2" xfId="3976" xr:uid="{00000000-0005-0000-0000-000069180000}"/>
    <cellStyle name="s_Mango Merger 3_2_Comparativo VP FIN v1_So 2008" xfId="8273" xr:uid="{00000000-0005-0000-0000-00006A180000}"/>
    <cellStyle name="s_Mango Merger 3_2_Comparativo VP MKT 2008 v1_So 2008" xfId="8274" xr:uid="{00000000-0005-0000-0000-00006B180000}"/>
    <cellStyle name="s_Mango Merger 3_2_Comparativo VP TEC 2008 v1_So 2008" xfId="8275" xr:uid="{00000000-0005-0000-0000-00006C180000}"/>
    <cellStyle name="s_Mango Merger 3_2_Comparativo VP TEC 2008_Luiz Sergio" xfId="8276" xr:uid="{00000000-0005-0000-0000-00006D180000}"/>
    <cellStyle name="s_Mango Merger 3_2_Cópia de Modelo - Fluxo de Caixa Orcamento 09052009_V36_3" xfId="3977" xr:uid="{00000000-0005-0000-0000-00006E180000}"/>
    <cellStyle name="s_Mango Merger 3_2_Fluxo de Caixa Orcamento FINAL_13052009" xfId="3978" xr:uid="{00000000-0005-0000-0000-00006F180000}"/>
    <cellStyle name="s_Mango Merger 3_2_FM_dummyV4" xfId="3979" xr:uid="{00000000-0005-0000-0000-000070180000}"/>
    <cellStyle name="s_Mango Merger 3_2_lalur" xfId="3980" xr:uid="{00000000-0005-0000-0000-000071180000}"/>
    <cellStyle name="s_Mango Merger 3_2_Leasing_V3" xfId="3981" xr:uid="{00000000-0005-0000-0000-000072180000}"/>
    <cellStyle name="s_Mango Merger 3_2_MODELO PDP III" xfId="3982" xr:uid="{00000000-0005-0000-0000-000073180000}"/>
    <cellStyle name="s_Mango Merger 3_2_ORÇ_2009" xfId="3983" xr:uid="{00000000-0005-0000-0000-000074180000}"/>
    <cellStyle name="s_Mango Merger 3_2_Pasta2" xfId="3984" xr:uid="{00000000-0005-0000-0000-000075180000}"/>
    <cellStyle name="s_Mango Merger 3_Comparativo VP FIN v1_So 2008" xfId="8277" xr:uid="{00000000-0005-0000-0000-000076180000}"/>
    <cellStyle name="s_Mango Merger 3_Comparativo VP MKT 2008 v1_So 2008" xfId="8278" xr:uid="{00000000-0005-0000-0000-000077180000}"/>
    <cellStyle name="s_Mango Merger 3_Comparativo VP TEC 2008 v1_So 2008" xfId="8279" xr:uid="{00000000-0005-0000-0000-000078180000}"/>
    <cellStyle name="s_Mango Merger 3_Comparativo VP TEC 2008_Luiz Sergio" xfId="8280" xr:uid="{00000000-0005-0000-0000-000079180000}"/>
    <cellStyle name="s_Mango Merger 3_Cópia de Modelo - Fluxo de Caixa Orcamento 09052009_V36_3" xfId="3985" xr:uid="{00000000-0005-0000-0000-00007A180000}"/>
    <cellStyle name="s_Mango Merger 3_Fluxo de Caixa Orcamento FINAL_13052009" xfId="3986" xr:uid="{00000000-0005-0000-0000-00007B180000}"/>
    <cellStyle name="s_Mango Merger 3_FM_dummyV4" xfId="3987" xr:uid="{00000000-0005-0000-0000-00007C180000}"/>
    <cellStyle name="s_Mango Merger 3_lalur" xfId="3988" xr:uid="{00000000-0005-0000-0000-00007D180000}"/>
    <cellStyle name="s_Mango Merger 3_Leasing_V3" xfId="3989" xr:uid="{00000000-0005-0000-0000-00007E180000}"/>
    <cellStyle name="s_Mango Merger 3_MODELO PDP III" xfId="3990" xr:uid="{00000000-0005-0000-0000-00007F180000}"/>
    <cellStyle name="s_Mango Merger 3_ORÇ_2009" xfId="3991" xr:uid="{00000000-0005-0000-0000-000080180000}"/>
    <cellStyle name="s_Mango Merger 3_Pasta2" xfId="3992" xr:uid="{00000000-0005-0000-0000-000081180000}"/>
    <cellStyle name="s_Mango Merger_1" xfId="3993" xr:uid="{00000000-0005-0000-0000-000082180000}"/>
    <cellStyle name="s_Mango Merger_1_Comparativo VP FIN v1_So 2008" xfId="8281" xr:uid="{00000000-0005-0000-0000-000083180000}"/>
    <cellStyle name="s_Mango Merger_1_Comparativo VP MKT 2008 v1_So 2008" xfId="8282" xr:uid="{00000000-0005-0000-0000-000084180000}"/>
    <cellStyle name="s_Mango Merger_1_Comparativo VP TEC 2008 v1_So 2008" xfId="8283" xr:uid="{00000000-0005-0000-0000-000085180000}"/>
    <cellStyle name="s_Mango Merger_1_Comparativo VP TEC 2008_Luiz Sergio" xfId="8284" xr:uid="{00000000-0005-0000-0000-000086180000}"/>
    <cellStyle name="s_Mango Merger_1_Cópia de Modelo - Fluxo de Caixa Orcamento 09052009_V36_3" xfId="3994" xr:uid="{00000000-0005-0000-0000-000087180000}"/>
    <cellStyle name="s_Mango Merger_1_Fluxo de Caixa Orcamento FINAL_13052009" xfId="3995" xr:uid="{00000000-0005-0000-0000-000088180000}"/>
    <cellStyle name="s_Mango Merger_1_FM_dummyV4" xfId="3996" xr:uid="{00000000-0005-0000-0000-000089180000}"/>
    <cellStyle name="s_Mango Merger_1_lalur" xfId="3997" xr:uid="{00000000-0005-0000-0000-00008A180000}"/>
    <cellStyle name="s_Mango Merger_1_Leasing_V3" xfId="3998" xr:uid="{00000000-0005-0000-0000-00008B180000}"/>
    <cellStyle name="s_Mango Merger_1_MODELO PDP III" xfId="3999" xr:uid="{00000000-0005-0000-0000-00008C180000}"/>
    <cellStyle name="s_Mango Merger_1_ORÇ_2009" xfId="4000" xr:uid="{00000000-0005-0000-0000-00008D180000}"/>
    <cellStyle name="s_Mango Merger_1_Pasta2" xfId="4001" xr:uid="{00000000-0005-0000-0000-00008E180000}"/>
    <cellStyle name="s_Mango Merger_Comparativo VP FIN v1_So 2008" xfId="8285" xr:uid="{00000000-0005-0000-0000-00008F180000}"/>
    <cellStyle name="s_Mango Merger_Comparativo VP MKT 2008 v1_So 2008" xfId="8286" xr:uid="{00000000-0005-0000-0000-000090180000}"/>
    <cellStyle name="s_Mango Merger_Comparativo VP TEC 2008 v1_So 2008" xfId="8287" xr:uid="{00000000-0005-0000-0000-000091180000}"/>
    <cellStyle name="s_Mango Merger_Comparativo VP TEC 2008_Luiz Sergio" xfId="8288" xr:uid="{00000000-0005-0000-0000-000092180000}"/>
    <cellStyle name="s_Mango Merger_Cópia de Modelo - Fluxo de Caixa Orcamento 09052009_V36_3" xfId="4002" xr:uid="{00000000-0005-0000-0000-000093180000}"/>
    <cellStyle name="s_Mango Merger_Fluxo de Caixa Orcamento FINAL_13052009" xfId="4003" xr:uid="{00000000-0005-0000-0000-000094180000}"/>
    <cellStyle name="s_Mango Merger_FM_dummyV4" xfId="4004" xr:uid="{00000000-0005-0000-0000-000095180000}"/>
    <cellStyle name="s_Mango Merger_lalur" xfId="4005" xr:uid="{00000000-0005-0000-0000-000096180000}"/>
    <cellStyle name="s_Mango Merger_Leasing_V3" xfId="4006" xr:uid="{00000000-0005-0000-0000-000097180000}"/>
    <cellStyle name="s_Mango Merger_MODELO PDP III" xfId="4007" xr:uid="{00000000-0005-0000-0000-000098180000}"/>
    <cellStyle name="s_Mango Merger_ORÇ_2009" xfId="4008" xr:uid="{00000000-0005-0000-0000-000099180000}"/>
    <cellStyle name="s_Mango Merger_Pasta2" xfId="4009" xr:uid="{00000000-0005-0000-0000-00009A180000}"/>
    <cellStyle name="s_Mary911" xfId="4010" xr:uid="{00000000-0005-0000-0000-00009B180000}"/>
    <cellStyle name="s_Mary911_Comparativo VP FIN v1_So 2008" xfId="8289" xr:uid="{00000000-0005-0000-0000-00009C180000}"/>
    <cellStyle name="s_Mary911_Comparativo VP MKT 2008 v1_So 2008" xfId="8290" xr:uid="{00000000-0005-0000-0000-00009D180000}"/>
    <cellStyle name="s_Mary911_Comparativo VP TEC 2008 v1_So 2008" xfId="8291" xr:uid="{00000000-0005-0000-0000-00009E180000}"/>
    <cellStyle name="s_Mary911_Comparativo VP TEC 2008_Luiz Sergio" xfId="8292" xr:uid="{00000000-0005-0000-0000-00009F180000}"/>
    <cellStyle name="s_Mary911_Cópia de Modelo - Fluxo de Caixa Orcamento 09052009_V36_3" xfId="4011" xr:uid="{00000000-0005-0000-0000-0000A0180000}"/>
    <cellStyle name="s_Mary911_Fluxo de Caixa Orcamento FINAL_13052009" xfId="4012" xr:uid="{00000000-0005-0000-0000-0000A1180000}"/>
    <cellStyle name="s_Mary911_FM_dummyV4" xfId="4013" xr:uid="{00000000-0005-0000-0000-0000A2180000}"/>
    <cellStyle name="s_Mary911_lalur" xfId="4014" xr:uid="{00000000-0005-0000-0000-0000A3180000}"/>
    <cellStyle name="s_Mary911_Leasing_V3" xfId="4015" xr:uid="{00000000-0005-0000-0000-0000A4180000}"/>
    <cellStyle name="s_Mary911_MODELO PDP III" xfId="4016" xr:uid="{00000000-0005-0000-0000-0000A5180000}"/>
    <cellStyle name="s_Mary911_ORÇ_2009" xfId="4017" xr:uid="{00000000-0005-0000-0000-0000A6180000}"/>
    <cellStyle name="s_Mary911_Pasta2" xfId="4018" xr:uid="{00000000-0005-0000-0000-0000A7180000}"/>
    <cellStyle name="s_Matrix_B" xfId="4019" xr:uid="{00000000-0005-0000-0000-0000A8180000}"/>
    <cellStyle name="s_Matrix_B_Comparativo VP FIN v1_So 2008" xfId="8293" xr:uid="{00000000-0005-0000-0000-0000A9180000}"/>
    <cellStyle name="s_Matrix_B_Comparativo VP MKT 2008 v1_So 2008" xfId="8294" xr:uid="{00000000-0005-0000-0000-0000AA180000}"/>
    <cellStyle name="s_Matrix_B_Comparativo VP TEC 2008 v1_So 2008" xfId="8295" xr:uid="{00000000-0005-0000-0000-0000AB180000}"/>
    <cellStyle name="s_Matrix_B_Comparativo VP TEC 2008_Luiz Sergio" xfId="8296" xr:uid="{00000000-0005-0000-0000-0000AC180000}"/>
    <cellStyle name="s_Matrix_B_Cópia de Modelo - Fluxo de Caixa Orcamento 09052009_V36_3" xfId="4020" xr:uid="{00000000-0005-0000-0000-0000AD180000}"/>
    <cellStyle name="s_Matrix_B_Fluxo de Caixa Orcamento FINAL_13052009" xfId="4021" xr:uid="{00000000-0005-0000-0000-0000AE180000}"/>
    <cellStyle name="s_Matrix_B_FM_dummyV4" xfId="4022" xr:uid="{00000000-0005-0000-0000-0000AF180000}"/>
    <cellStyle name="s_Matrix_B_lalur" xfId="4023" xr:uid="{00000000-0005-0000-0000-0000B0180000}"/>
    <cellStyle name="s_Matrix_B_Leasing_V3" xfId="4024" xr:uid="{00000000-0005-0000-0000-0000B1180000}"/>
    <cellStyle name="s_Matrix_B_MODELO PDP III" xfId="4025" xr:uid="{00000000-0005-0000-0000-0000B2180000}"/>
    <cellStyle name="s_Matrix_B_ORÇ_2009" xfId="4026" xr:uid="{00000000-0005-0000-0000-0000B3180000}"/>
    <cellStyle name="s_Matrix_B_Pasta2" xfId="4027" xr:uid="{00000000-0005-0000-0000-0000B4180000}"/>
    <cellStyle name="s_Matrix_B_Q2 pipeline" xfId="4028" xr:uid="{00000000-0005-0000-0000-0000B5180000}"/>
    <cellStyle name="s_Matrix_B_Q2 pipeline 2" xfId="8297" xr:uid="{00000000-0005-0000-0000-0000B6180000}"/>
    <cellStyle name="s_Matrix_B_Q2 pipeline_Cópia de Modelo - Fluxo de Caixa Orcamento 09052009_V36_3" xfId="4029" xr:uid="{00000000-0005-0000-0000-0000B7180000}"/>
    <cellStyle name="s_Matrix_B_Q2 pipeline_Cópia de Modelo - Fluxo de Caixa Orcamento 09052009_V36_3 2" xfId="8298" xr:uid="{00000000-0005-0000-0000-0000B8180000}"/>
    <cellStyle name="s_Matrix_B_Q2 pipeline_Fluxo de Caixa Orcamento FINAL_13052009" xfId="4030" xr:uid="{00000000-0005-0000-0000-0000B9180000}"/>
    <cellStyle name="s_Matrix_B_Q2 pipeline_Fluxo de Caixa Orcamento FINAL_13052009 2" xfId="8299" xr:uid="{00000000-0005-0000-0000-0000BA180000}"/>
    <cellStyle name="s_Matrix_B_Q2 pipeline_FM_dummyV4" xfId="4031" xr:uid="{00000000-0005-0000-0000-0000BB180000}"/>
    <cellStyle name="s_Matrix_B_Q2 pipeline_lalur" xfId="4032" xr:uid="{00000000-0005-0000-0000-0000BC180000}"/>
    <cellStyle name="s_Matrix_B_Q2 pipeline_Leasing_V3" xfId="4033" xr:uid="{00000000-0005-0000-0000-0000BD180000}"/>
    <cellStyle name="s_Matrix_B_Q2 pipeline_MODELO PDP III" xfId="4034" xr:uid="{00000000-0005-0000-0000-0000BE180000}"/>
    <cellStyle name="s_Matrix_B_Q2 pipeline_ORÇ_2009" xfId="4035" xr:uid="{00000000-0005-0000-0000-0000BF180000}"/>
    <cellStyle name="s_Matrix_B_Q2 pipeline_ORÇ_2009 2" xfId="8300" xr:uid="{00000000-0005-0000-0000-0000C0180000}"/>
    <cellStyle name="s_Matrix_B_Q2 pipeline_Pasta2" xfId="4036" xr:uid="{00000000-0005-0000-0000-0000C1180000}"/>
    <cellStyle name="s_Matrix_B_Q2 pipeline_Pasta2 2" xfId="8301" xr:uid="{00000000-0005-0000-0000-0000C2180000}"/>
    <cellStyle name="s_Matrix_T" xfId="4037" xr:uid="{00000000-0005-0000-0000-0000C3180000}"/>
    <cellStyle name="s_Matrix_T_Comparativo VP FIN v1_So 2008" xfId="8302" xr:uid="{00000000-0005-0000-0000-0000C4180000}"/>
    <cellStyle name="s_Matrix_T_Comparativo VP MKT 2008 v1_So 2008" xfId="8303" xr:uid="{00000000-0005-0000-0000-0000C5180000}"/>
    <cellStyle name="s_Matrix_T_Comparativo VP TEC 2008 v1_So 2008" xfId="8304" xr:uid="{00000000-0005-0000-0000-0000C6180000}"/>
    <cellStyle name="s_Matrix_T_Comparativo VP TEC 2008_Luiz Sergio" xfId="8305" xr:uid="{00000000-0005-0000-0000-0000C7180000}"/>
    <cellStyle name="s_Matrix_T_Cópia de Modelo - Fluxo de Caixa Orcamento 09052009_V36_3" xfId="4038" xr:uid="{00000000-0005-0000-0000-0000C8180000}"/>
    <cellStyle name="s_Matrix_T_Fluxo de Caixa Orcamento FINAL_13052009" xfId="4039" xr:uid="{00000000-0005-0000-0000-0000C9180000}"/>
    <cellStyle name="s_Matrix_T_FM_dummyV4" xfId="4040" xr:uid="{00000000-0005-0000-0000-0000CA180000}"/>
    <cellStyle name="s_Matrix_T_lalur" xfId="4041" xr:uid="{00000000-0005-0000-0000-0000CB180000}"/>
    <cellStyle name="s_Matrix_T_Leasing_V3" xfId="4042" xr:uid="{00000000-0005-0000-0000-0000CC180000}"/>
    <cellStyle name="s_Matrix_T_MODELO PDP III" xfId="4043" xr:uid="{00000000-0005-0000-0000-0000CD180000}"/>
    <cellStyle name="s_Matrix_T_ORÇ_2009" xfId="4044" xr:uid="{00000000-0005-0000-0000-0000CE180000}"/>
    <cellStyle name="s_Matrix_T_Pasta2" xfId="4045" xr:uid="{00000000-0005-0000-0000-0000CF180000}"/>
    <cellStyle name="s_Matrix_T_Q2 pipeline" xfId="4046" xr:uid="{00000000-0005-0000-0000-0000D0180000}"/>
    <cellStyle name="s_Matrix_T_Q2 pipeline 2" xfId="8306" xr:uid="{00000000-0005-0000-0000-0000D1180000}"/>
    <cellStyle name="s_Matrix_T_Q2 pipeline_Cópia de Modelo - Fluxo de Caixa Orcamento 09052009_V36_3" xfId="4047" xr:uid="{00000000-0005-0000-0000-0000D2180000}"/>
    <cellStyle name="s_Matrix_T_Q2 pipeline_Cópia de Modelo - Fluxo de Caixa Orcamento 09052009_V36_3 2" xfId="8307" xr:uid="{00000000-0005-0000-0000-0000D3180000}"/>
    <cellStyle name="s_Matrix_T_Q2 pipeline_Fluxo de Caixa Orcamento FINAL_13052009" xfId="4048" xr:uid="{00000000-0005-0000-0000-0000D4180000}"/>
    <cellStyle name="s_Matrix_T_Q2 pipeline_Fluxo de Caixa Orcamento FINAL_13052009 2" xfId="8308" xr:uid="{00000000-0005-0000-0000-0000D5180000}"/>
    <cellStyle name="s_Matrix_T_Q2 pipeline_FM_dummyV4" xfId="4049" xr:uid="{00000000-0005-0000-0000-0000D6180000}"/>
    <cellStyle name="s_Matrix_T_Q2 pipeline_lalur" xfId="4050" xr:uid="{00000000-0005-0000-0000-0000D7180000}"/>
    <cellStyle name="s_Matrix_T_Q2 pipeline_Leasing_V3" xfId="4051" xr:uid="{00000000-0005-0000-0000-0000D8180000}"/>
    <cellStyle name="s_Matrix_T_Q2 pipeline_MODELO PDP III" xfId="4052" xr:uid="{00000000-0005-0000-0000-0000D9180000}"/>
    <cellStyle name="s_Matrix_T_Q2 pipeline_ORÇ_2009" xfId="4053" xr:uid="{00000000-0005-0000-0000-0000DA180000}"/>
    <cellStyle name="s_Matrix_T_Q2 pipeline_ORÇ_2009 2" xfId="8309" xr:uid="{00000000-0005-0000-0000-0000DB180000}"/>
    <cellStyle name="s_Matrix_T_Q2 pipeline_Pasta2" xfId="4054" xr:uid="{00000000-0005-0000-0000-0000DC180000}"/>
    <cellStyle name="s_Matrix_T_Q2 pipeline_Pasta2 2" xfId="8310" xr:uid="{00000000-0005-0000-0000-0000DD180000}"/>
    <cellStyle name="s_Merger" xfId="4055" xr:uid="{00000000-0005-0000-0000-0000DE180000}"/>
    <cellStyle name="s_Merger_Comparativo VP FIN v1_So 2008" xfId="8311" xr:uid="{00000000-0005-0000-0000-0000DF180000}"/>
    <cellStyle name="s_Merger_Comparativo VP MKT 2008 v1_So 2008" xfId="8312" xr:uid="{00000000-0005-0000-0000-0000E0180000}"/>
    <cellStyle name="s_Merger_Comparativo VP TEC 2008 v1_So 2008" xfId="8313" xr:uid="{00000000-0005-0000-0000-0000E1180000}"/>
    <cellStyle name="s_Merger_Comparativo VP TEC 2008_Luiz Sergio" xfId="8314" xr:uid="{00000000-0005-0000-0000-0000E2180000}"/>
    <cellStyle name="s_Merger_Cópia de Modelo - Fluxo de Caixa Orcamento 09052009_V36_3" xfId="4056" xr:uid="{00000000-0005-0000-0000-0000E3180000}"/>
    <cellStyle name="s_Merger_Fluxo de Caixa Orcamento FINAL_13052009" xfId="4057" xr:uid="{00000000-0005-0000-0000-0000E4180000}"/>
    <cellStyle name="s_Merger_FM_dummyV4" xfId="4058" xr:uid="{00000000-0005-0000-0000-0000E5180000}"/>
    <cellStyle name="s_Merger_lalur" xfId="4059" xr:uid="{00000000-0005-0000-0000-0000E6180000}"/>
    <cellStyle name="s_Merger_Leasing_V3" xfId="4060" xr:uid="{00000000-0005-0000-0000-0000E7180000}"/>
    <cellStyle name="s_Merger_MODELO PDP III" xfId="4061" xr:uid="{00000000-0005-0000-0000-0000E8180000}"/>
    <cellStyle name="s_Merger_ORÇ_2009" xfId="4062" xr:uid="{00000000-0005-0000-0000-0000E9180000}"/>
    <cellStyle name="s_Merger_Pasta2" xfId="4063" xr:uid="{00000000-0005-0000-0000-0000EA180000}"/>
    <cellStyle name="s_Merger_Q2 pipeline" xfId="4064" xr:uid="{00000000-0005-0000-0000-0000EB180000}"/>
    <cellStyle name="s_Merger_Q2 pipeline 2" xfId="8315" xr:uid="{00000000-0005-0000-0000-0000EC180000}"/>
    <cellStyle name="s_Merger_Q2 pipeline_Cópia de Modelo - Fluxo de Caixa Orcamento 09052009_V36_3" xfId="4065" xr:uid="{00000000-0005-0000-0000-0000ED180000}"/>
    <cellStyle name="s_Merger_Q2 pipeline_Cópia de Modelo - Fluxo de Caixa Orcamento 09052009_V36_3 2" xfId="8316" xr:uid="{00000000-0005-0000-0000-0000EE180000}"/>
    <cellStyle name="s_Merger_Q2 pipeline_Fluxo de Caixa Orcamento FINAL_13052009" xfId="4066" xr:uid="{00000000-0005-0000-0000-0000EF180000}"/>
    <cellStyle name="s_Merger_Q2 pipeline_Fluxo de Caixa Orcamento FINAL_13052009 2" xfId="8317" xr:uid="{00000000-0005-0000-0000-0000F0180000}"/>
    <cellStyle name="s_Merger_Q2 pipeline_FM_dummyV4" xfId="4067" xr:uid="{00000000-0005-0000-0000-0000F1180000}"/>
    <cellStyle name="s_Merger_Q2 pipeline_lalur" xfId="4068" xr:uid="{00000000-0005-0000-0000-0000F2180000}"/>
    <cellStyle name="s_Merger_Q2 pipeline_Leasing_V3" xfId="4069" xr:uid="{00000000-0005-0000-0000-0000F3180000}"/>
    <cellStyle name="s_Merger_Q2 pipeline_MODELO PDP III" xfId="4070" xr:uid="{00000000-0005-0000-0000-0000F4180000}"/>
    <cellStyle name="s_Merger_Q2 pipeline_ORÇ_2009" xfId="4071" xr:uid="{00000000-0005-0000-0000-0000F5180000}"/>
    <cellStyle name="s_Merger_Q2 pipeline_ORÇ_2009 2" xfId="8318" xr:uid="{00000000-0005-0000-0000-0000F6180000}"/>
    <cellStyle name="s_Merger_Q2 pipeline_Pasta2" xfId="4072" xr:uid="{00000000-0005-0000-0000-0000F7180000}"/>
    <cellStyle name="s_Merger_Q2 pipeline_Pasta2 2" xfId="8319" xr:uid="{00000000-0005-0000-0000-0000F8180000}"/>
    <cellStyle name="s_Mini merg7_20" xfId="4073" xr:uid="{00000000-0005-0000-0000-0000F9180000}"/>
    <cellStyle name="s_Mini merg7_20_Comparativo VP FIN v1_So 2008" xfId="8320" xr:uid="{00000000-0005-0000-0000-0000FA180000}"/>
    <cellStyle name="s_Mini merg7_20_Comparativo VP MKT 2008 v1_So 2008" xfId="8321" xr:uid="{00000000-0005-0000-0000-0000FB180000}"/>
    <cellStyle name="s_Mini merg7_20_Comparativo VP TEC 2008 v1_So 2008" xfId="8322" xr:uid="{00000000-0005-0000-0000-0000FC180000}"/>
    <cellStyle name="s_Mini merg7_20_Comparativo VP TEC 2008_Luiz Sergio" xfId="8323" xr:uid="{00000000-0005-0000-0000-0000FD180000}"/>
    <cellStyle name="s_Mini merg7_20_Cópia de Modelo - Fluxo de Caixa Orcamento 09052009_V36_3" xfId="4074" xr:uid="{00000000-0005-0000-0000-0000FE180000}"/>
    <cellStyle name="s_Mini merg7_20_Fluxo de Caixa Orcamento FINAL_13052009" xfId="4075" xr:uid="{00000000-0005-0000-0000-0000FF180000}"/>
    <cellStyle name="s_Mini merg7_20_FM_dummyV4" xfId="4076" xr:uid="{00000000-0005-0000-0000-000000190000}"/>
    <cellStyle name="s_Mini merg7_20_lalur" xfId="4077" xr:uid="{00000000-0005-0000-0000-000001190000}"/>
    <cellStyle name="s_Mini merg7_20_Leasing_V3" xfId="4078" xr:uid="{00000000-0005-0000-0000-000002190000}"/>
    <cellStyle name="s_Mini merg7_20_MODELO PDP III" xfId="4079" xr:uid="{00000000-0005-0000-0000-000003190000}"/>
    <cellStyle name="s_Mini merg7_20_ORÇ_2009" xfId="4080" xr:uid="{00000000-0005-0000-0000-000004190000}"/>
    <cellStyle name="s_Mini merg7_20_Pasta2" xfId="4081" xr:uid="{00000000-0005-0000-0000-000005190000}"/>
    <cellStyle name="s_Model Assumptions (2)" xfId="4082" xr:uid="{00000000-0005-0000-0000-000006190000}"/>
    <cellStyle name="s_Model Assumptions (2)_1" xfId="4083" xr:uid="{00000000-0005-0000-0000-000007190000}"/>
    <cellStyle name="s_Model Assumptions (2)_1_Comparativo VP FIN v1_So 2008" xfId="8324" xr:uid="{00000000-0005-0000-0000-000008190000}"/>
    <cellStyle name="s_Model Assumptions (2)_1_Comparativo VP MKT 2008 v1_So 2008" xfId="8325" xr:uid="{00000000-0005-0000-0000-000009190000}"/>
    <cellStyle name="s_Model Assumptions (2)_1_Comparativo VP TEC 2008 v1_So 2008" xfId="8326" xr:uid="{00000000-0005-0000-0000-00000A190000}"/>
    <cellStyle name="s_Model Assumptions (2)_1_Comparativo VP TEC 2008_Luiz Sergio" xfId="8327" xr:uid="{00000000-0005-0000-0000-00000B190000}"/>
    <cellStyle name="s_Model Assumptions (2)_1_Cópia de Modelo - Fluxo de Caixa Orcamento 09052009_V36_3" xfId="4084" xr:uid="{00000000-0005-0000-0000-00000C190000}"/>
    <cellStyle name="s_Model Assumptions (2)_1_Fluxo de Caixa Orcamento FINAL_13052009" xfId="4085" xr:uid="{00000000-0005-0000-0000-00000D190000}"/>
    <cellStyle name="s_Model Assumptions (2)_1_FM_dummyV4" xfId="4086" xr:uid="{00000000-0005-0000-0000-00000E190000}"/>
    <cellStyle name="s_Model Assumptions (2)_1_lalur" xfId="4087" xr:uid="{00000000-0005-0000-0000-00000F190000}"/>
    <cellStyle name="s_Model Assumptions (2)_1_Leasing_V3" xfId="4088" xr:uid="{00000000-0005-0000-0000-000010190000}"/>
    <cellStyle name="s_Model Assumptions (2)_1_MODELO PDP III" xfId="4089" xr:uid="{00000000-0005-0000-0000-000011190000}"/>
    <cellStyle name="s_Model Assumptions (2)_1_ORÇ_2009" xfId="4090" xr:uid="{00000000-0005-0000-0000-000012190000}"/>
    <cellStyle name="s_Model Assumptions (2)_1_Pasta2" xfId="4091" xr:uid="{00000000-0005-0000-0000-000013190000}"/>
    <cellStyle name="s_Model Assumptions (2)_Comparativo VP FIN v1_So 2008" xfId="8328" xr:uid="{00000000-0005-0000-0000-000014190000}"/>
    <cellStyle name="s_Model Assumptions (2)_Comparativo VP MKT 2008 v1_So 2008" xfId="8329" xr:uid="{00000000-0005-0000-0000-000015190000}"/>
    <cellStyle name="s_Model Assumptions (2)_Comparativo VP TEC 2008 v1_So 2008" xfId="8330" xr:uid="{00000000-0005-0000-0000-000016190000}"/>
    <cellStyle name="s_Model Assumptions (2)_Comparativo VP TEC 2008_Luiz Sergio" xfId="8331" xr:uid="{00000000-0005-0000-0000-000017190000}"/>
    <cellStyle name="s_Model Assumptions (2)_Cópia de Modelo - Fluxo de Caixa Orcamento 09052009_V36_3" xfId="4092" xr:uid="{00000000-0005-0000-0000-000018190000}"/>
    <cellStyle name="s_Model Assumptions (2)_Fluxo de Caixa Orcamento FINAL_13052009" xfId="4093" xr:uid="{00000000-0005-0000-0000-000019190000}"/>
    <cellStyle name="s_Model Assumptions (2)_FM_dummyV4" xfId="4094" xr:uid="{00000000-0005-0000-0000-00001A190000}"/>
    <cellStyle name="s_Model Assumptions (2)_lalur" xfId="4095" xr:uid="{00000000-0005-0000-0000-00001B190000}"/>
    <cellStyle name="s_Model Assumptions (2)_Leasing_V3" xfId="4096" xr:uid="{00000000-0005-0000-0000-00001C190000}"/>
    <cellStyle name="s_Model Assumptions (2)_MODELO PDP III" xfId="4097" xr:uid="{00000000-0005-0000-0000-00001D190000}"/>
    <cellStyle name="s_Model Assumptions (2)_ORÇ_2009" xfId="4098" xr:uid="{00000000-0005-0000-0000-00001E190000}"/>
    <cellStyle name="s_Model Assumptions (2)_Pasta2" xfId="4099" xr:uid="{00000000-0005-0000-0000-00001F190000}"/>
    <cellStyle name="s_Model_19" xfId="4100" xr:uid="{00000000-0005-0000-0000-000020190000}"/>
    <cellStyle name="s_Model_19_Comparativo VP FIN v1_So 2008" xfId="8332" xr:uid="{00000000-0005-0000-0000-000021190000}"/>
    <cellStyle name="s_Model_19_Comparativo VP MKT 2008 v1_So 2008" xfId="8333" xr:uid="{00000000-0005-0000-0000-000022190000}"/>
    <cellStyle name="s_Model_19_Comparativo VP TEC 2008 v1_So 2008" xfId="8334" xr:uid="{00000000-0005-0000-0000-000023190000}"/>
    <cellStyle name="s_Model_19_Comparativo VP TEC 2008_Luiz Sergio" xfId="8335" xr:uid="{00000000-0005-0000-0000-000024190000}"/>
    <cellStyle name="s_Model_19_Cópia de Modelo - Fluxo de Caixa Orcamento 09052009_V36_3" xfId="4101" xr:uid="{00000000-0005-0000-0000-000025190000}"/>
    <cellStyle name="s_Model_19_Fluxo de Caixa Orcamento FINAL_13052009" xfId="4102" xr:uid="{00000000-0005-0000-0000-000026190000}"/>
    <cellStyle name="s_Model_19_FM_dummyV4" xfId="4103" xr:uid="{00000000-0005-0000-0000-000027190000}"/>
    <cellStyle name="s_Model_19_lalur" xfId="4104" xr:uid="{00000000-0005-0000-0000-000028190000}"/>
    <cellStyle name="s_Model_19_Leasing_V3" xfId="4105" xr:uid="{00000000-0005-0000-0000-000029190000}"/>
    <cellStyle name="s_Model_19_MODELO PDP III" xfId="4106" xr:uid="{00000000-0005-0000-0000-00002A190000}"/>
    <cellStyle name="s_Model_19_ORÇ_2009" xfId="4107" xr:uid="{00000000-0005-0000-0000-00002B190000}"/>
    <cellStyle name="s_Model_19_Pasta2" xfId="4108" xr:uid="{00000000-0005-0000-0000-00002C190000}"/>
    <cellStyle name="s_Model_19_Q2 pipeline" xfId="4109" xr:uid="{00000000-0005-0000-0000-00002D190000}"/>
    <cellStyle name="s_Model_19_Q2 pipeline 2" xfId="8336" xr:uid="{00000000-0005-0000-0000-00002E190000}"/>
    <cellStyle name="s_Model_19_Q2 pipeline_Cópia de Modelo - Fluxo de Caixa Orcamento 09052009_V36_3" xfId="4110" xr:uid="{00000000-0005-0000-0000-00002F190000}"/>
    <cellStyle name="s_Model_19_Q2 pipeline_Cópia de Modelo - Fluxo de Caixa Orcamento 09052009_V36_3 2" xfId="8337" xr:uid="{00000000-0005-0000-0000-000030190000}"/>
    <cellStyle name="s_Model_19_Q2 pipeline_Fluxo de Caixa Orcamento FINAL_13052009" xfId="4111" xr:uid="{00000000-0005-0000-0000-000031190000}"/>
    <cellStyle name="s_Model_19_Q2 pipeline_Fluxo de Caixa Orcamento FINAL_13052009 2" xfId="8338" xr:uid="{00000000-0005-0000-0000-000032190000}"/>
    <cellStyle name="s_Model_19_Q2 pipeline_FM_dummyV4" xfId="4112" xr:uid="{00000000-0005-0000-0000-000033190000}"/>
    <cellStyle name="s_Model_19_Q2 pipeline_lalur" xfId="4113" xr:uid="{00000000-0005-0000-0000-000034190000}"/>
    <cellStyle name="s_Model_19_Q2 pipeline_Leasing_V3" xfId="4114" xr:uid="{00000000-0005-0000-0000-000035190000}"/>
    <cellStyle name="s_Model_19_Q2 pipeline_MODELO PDP III" xfId="4115" xr:uid="{00000000-0005-0000-0000-000036190000}"/>
    <cellStyle name="s_Model_19_Q2 pipeline_ORÇ_2009" xfId="4116" xr:uid="{00000000-0005-0000-0000-000037190000}"/>
    <cellStyle name="s_Model_19_Q2 pipeline_ORÇ_2009 2" xfId="8339" xr:uid="{00000000-0005-0000-0000-000038190000}"/>
    <cellStyle name="s_Model_19_Q2 pipeline_Pasta2" xfId="4117" xr:uid="{00000000-0005-0000-0000-000039190000}"/>
    <cellStyle name="s_Model_19_Q2 pipeline_Pasta2 2" xfId="8340" xr:uid="{00000000-0005-0000-0000-00003A190000}"/>
    <cellStyle name="s_Model0717" xfId="4118" xr:uid="{00000000-0005-0000-0000-00003B190000}"/>
    <cellStyle name="s_Model0717_Comparativo VP FIN v1_So 2008" xfId="8341" xr:uid="{00000000-0005-0000-0000-00003C190000}"/>
    <cellStyle name="s_Model0717_Comparativo VP MKT 2008 v1_So 2008" xfId="8342" xr:uid="{00000000-0005-0000-0000-00003D190000}"/>
    <cellStyle name="s_Model0717_Comparativo VP TEC 2008 v1_So 2008" xfId="8343" xr:uid="{00000000-0005-0000-0000-00003E190000}"/>
    <cellStyle name="s_Model0717_Comparativo VP TEC 2008_Luiz Sergio" xfId="8344" xr:uid="{00000000-0005-0000-0000-00003F190000}"/>
    <cellStyle name="s_Model0717_Cópia de Modelo - Fluxo de Caixa Orcamento 09052009_V36_3" xfId="4119" xr:uid="{00000000-0005-0000-0000-000040190000}"/>
    <cellStyle name="s_Model0717_Fluxo de Caixa Orcamento FINAL_13052009" xfId="4120" xr:uid="{00000000-0005-0000-0000-000041190000}"/>
    <cellStyle name="s_Model0717_FM_dummyV4" xfId="4121" xr:uid="{00000000-0005-0000-0000-000042190000}"/>
    <cellStyle name="s_Model0717_lalur" xfId="4122" xr:uid="{00000000-0005-0000-0000-000043190000}"/>
    <cellStyle name="s_Model0717_Leasing_V3" xfId="4123" xr:uid="{00000000-0005-0000-0000-000044190000}"/>
    <cellStyle name="s_Model0717_MODELO PDP III" xfId="4124" xr:uid="{00000000-0005-0000-0000-000045190000}"/>
    <cellStyle name="s_Model0717_ORÇ_2009" xfId="4125" xr:uid="{00000000-0005-0000-0000-000046190000}"/>
    <cellStyle name="s_Model0717_Pasta2" xfId="4126" xr:uid="{00000000-0005-0000-0000-000047190000}"/>
    <cellStyle name="s_model2" xfId="4127" xr:uid="{00000000-0005-0000-0000-000048190000}"/>
    <cellStyle name="s_model2_Comparativo VP FIN v1_So 2008" xfId="8345" xr:uid="{00000000-0005-0000-0000-000049190000}"/>
    <cellStyle name="s_model2_Comparativo VP MKT 2008 v1_So 2008" xfId="8346" xr:uid="{00000000-0005-0000-0000-00004A190000}"/>
    <cellStyle name="s_model2_Comparativo VP TEC 2008 v1_So 2008" xfId="8347" xr:uid="{00000000-0005-0000-0000-00004B190000}"/>
    <cellStyle name="s_model2_Comparativo VP TEC 2008_Luiz Sergio" xfId="8348" xr:uid="{00000000-0005-0000-0000-00004C190000}"/>
    <cellStyle name="s_model2_Cópia de Modelo - Fluxo de Caixa Orcamento 09052009_V36_3" xfId="4128" xr:uid="{00000000-0005-0000-0000-00004D190000}"/>
    <cellStyle name="s_model2_Fluxo de Caixa Orcamento FINAL_13052009" xfId="4129" xr:uid="{00000000-0005-0000-0000-00004E190000}"/>
    <cellStyle name="s_model2_FM_dummyV4" xfId="4130" xr:uid="{00000000-0005-0000-0000-00004F190000}"/>
    <cellStyle name="s_model2_lalur" xfId="4131" xr:uid="{00000000-0005-0000-0000-000050190000}"/>
    <cellStyle name="s_model2_Leasing_V3" xfId="4132" xr:uid="{00000000-0005-0000-0000-000051190000}"/>
    <cellStyle name="s_model2_MODELO PDP III" xfId="4133" xr:uid="{00000000-0005-0000-0000-000052190000}"/>
    <cellStyle name="s_model2_ORÇ_2009" xfId="4134" xr:uid="{00000000-0005-0000-0000-000053190000}"/>
    <cellStyle name="s_model2_Pasta2" xfId="4135" xr:uid="{00000000-0005-0000-0000-000054190000}"/>
    <cellStyle name="s_model2_Q2 pipeline" xfId="4136" xr:uid="{00000000-0005-0000-0000-000055190000}"/>
    <cellStyle name="s_model2_Q2 pipeline 2" xfId="8349" xr:uid="{00000000-0005-0000-0000-000056190000}"/>
    <cellStyle name="s_model2_Q2 pipeline_Cópia de Modelo - Fluxo de Caixa Orcamento 09052009_V36_3" xfId="4137" xr:uid="{00000000-0005-0000-0000-000057190000}"/>
    <cellStyle name="s_model2_Q2 pipeline_Cópia de Modelo - Fluxo de Caixa Orcamento 09052009_V36_3 2" xfId="8350" xr:uid="{00000000-0005-0000-0000-000058190000}"/>
    <cellStyle name="s_model2_Q2 pipeline_Fluxo de Caixa Orcamento FINAL_13052009" xfId="4138" xr:uid="{00000000-0005-0000-0000-000059190000}"/>
    <cellStyle name="s_model2_Q2 pipeline_Fluxo de Caixa Orcamento FINAL_13052009 2" xfId="8351" xr:uid="{00000000-0005-0000-0000-00005A190000}"/>
    <cellStyle name="s_model2_Q2 pipeline_FM_dummyV4" xfId="4139" xr:uid="{00000000-0005-0000-0000-00005B190000}"/>
    <cellStyle name="s_model2_Q2 pipeline_lalur" xfId="4140" xr:uid="{00000000-0005-0000-0000-00005C190000}"/>
    <cellStyle name="s_model2_Q2 pipeline_Leasing_V3" xfId="4141" xr:uid="{00000000-0005-0000-0000-00005D190000}"/>
    <cellStyle name="s_model2_Q2 pipeline_MODELO PDP III" xfId="4142" xr:uid="{00000000-0005-0000-0000-00005E190000}"/>
    <cellStyle name="s_model2_Q2 pipeline_ORÇ_2009" xfId="4143" xr:uid="{00000000-0005-0000-0000-00005F190000}"/>
    <cellStyle name="s_model2_Q2 pipeline_ORÇ_2009 2" xfId="8352" xr:uid="{00000000-0005-0000-0000-000060190000}"/>
    <cellStyle name="s_model2_Q2 pipeline_Pasta2" xfId="4144" xr:uid="{00000000-0005-0000-0000-000061190000}"/>
    <cellStyle name="s_model2_Q2 pipeline_Pasta2 2" xfId="8353" xr:uid="{00000000-0005-0000-0000-000062190000}"/>
    <cellStyle name="s_MODELO PDP III" xfId="4145" xr:uid="{00000000-0005-0000-0000-000063190000}"/>
    <cellStyle name="s_MSDWmodell_July00" xfId="4146" xr:uid="{00000000-0005-0000-0000-000064190000}"/>
    <cellStyle name="s_OBGYN (2)" xfId="4147" xr:uid="{00000000-0005-0000-0000-000065190000}"/>
    <cellStyle name="s_OBGYN (2)_1" xfId="4148" xr:uid="{00000000-0005-0000-0000-000066190000}"/>
    <cellStyle name="s_OBGYN (2)_1_Comparativo VP FIN v1_So 2008" xfId="8354" xr:uid="{00000000-0005-0000-0000-000067190000}"/>
    <cellStyle name="s_OBGYN (2)_1_Comparativo VP MKT 2008 v1_So 2008" xfId="8355" xr:uid="{00000000-0005-0000-0000-000068190000}"/>
    <cellStyle name="s_OBGYN (2)_1_Comparativo VP TEC 2008 v1_So 2008" xfId="8356" xr:uid="{00000000-0005-0000-0000-000069190000}"/>
    <cellStyle name="s_OBGYN (2)_1_Comparativo VP TEC 2008_Luiz Sergio" xfId="8357" xr:uid="{00000000-0005-0000-0000-00006A190000}"/>
    <cellStyle name="s_OBGYN (2)_1_Cópia de Modelo - Fluxo de Caixa Orcamento 09052009_V36_3" xfId="4149" xr:uid="{00000000-0005-0000-0000-00006B190000}"/>
    <cellStyle name="s_OBGYN (2)_1_Fluxo de Caixa Orcamento FINAL_13052009" xfId="4150" xr:uid="{00000000-0005-0000-0000-00006C190000}"/>
    <cellStyle name="s_OBGYN (2)_1_FM_dummyV4" xfId="4151" xr:uid="{00000000-0005-0000-0000-00006D190000}"/>
    <cellStyle name="s_OBGYN (2)_1_lalur" xfId="4152" xr:uid="{00000000-0005-0000-0000-00006E190000}"/>
    <cellStyle name="s_OBGYN (2)_1_Leasing_V3" xfId="4153" xr:uid="{00000000-0005-0000-0000-00006F190000}"/>
    <cellStyle name="s_OBGYN (2)_1_MODELO PDP III" xfId="4154" xr:uid="{00000000-0005-0000-0000-000070190000}"/>
    <cellStyle name="s_OBGYN (2)_1_ORÇ_2009" xfId="4155" xr:uid="{00000000-0005-0000-0000-000071190000}"/>
    <cellStyle name="s_OBGYN (2)_1_Pasta2" xfId="4156" xr:uid="{00000000-0005-0000-0000-000072190000}"/>
    <cellStyle name="s_OBGYN (2)_2" xfId="4157" xr:uid="{00000000-0005-0000-0000-000073190000}"/>
    <cellStyle name="s_OBGYN (2)_2_Comparativo VP FIN v1_So 2008" xfId="8358" xr:uid="{00000000-0005-0000-0000-000074190000}"/>
    <cellStyle name="s_OBGYN (2)_2_Comparativo VP MKT 2008 v1_So 2008" xfId="8359" xr:uid="{00000000-0005-0000-0000-000075190000}"/>
    <cellStyle name="s_OBGYN (2)_2_Comparativo VP TEC 2008 v1_So 2008" xfId="8360" xr:uid="{00000000-0005-0000-0000-000076190000}"/>
    <cellStyle name="s_OBGYN (2)_2_Comparativo VP TEC 2008_Luiz Sergio" xfId="8361" xr:uid="{00000000-0005-0000-0000-000077190000}"/>
    <cellStyle name="s_OBGYN (2)_2_Cópia de Modelo - Fluxo de Caixa Orcamento 09052009_V36_3" xfId="4158" xr:uid="{00000000-0005-0000-0000-000078190000}"/>
    <cellStyle name="s_OBGYN (2)_2_Fluxo de Caixa Orcamento FINAL_13052009" xfId="4159" xr:uid="{00000000-0005-0000-0000-000079190000}"/>
    <cellStyle name="s_OBGYN (2)_2_FM_dummyV4" xfId="4160" xr:uid="{00000000-0005-0000-0000-00007A190000}"/>
    <cellStyle name="s_OBGYN (2)_2_lalur" xfId="4161" xr:uid="{00000000-0005-0000-0000-00007B190000}"/>
    <cellStyle name="s_OBGYN (2)_2_Leasing_V3" xfId="4162" xr:uid="{00000000-0005-0000-0000-00007C190000}"/>
    <cellStyle name="s_OBGYN (2)_2_MODELO PDP III" xfId="4163" xr:uid="{00000000-0005-0000-0000-00007D190000}"/>
    <cellStyle name="s_OBGYN (2)_2_ORÇ_2009" xfId="4164" xr:uid="{00000000-0005-0000-0000-00007E190000}"/>
    <cellStyle name="s_OBGYN (2)_2_Pasta2" xfId="4165" xr:uid="{00000000-0005-0000-0000-00007F190000}"/>
    <cellStyle name="s_OBGYN (2)_Comparativo VP FIN v1_So 2008" xfId="8362" xr:uid="{00000000-0005-0000-0000-000080190000}"/>
    <cellStyle name="s_OBGYN (2)_Comparativo VP MKT 2008 v1_So 2008" xfId="8363" xr:uid="{00000000-0005-0000-0000-000081190000}"/>
    <cellStyle name="s_OBGYN (2)_Comparativo VP TEC 2008 v1_So 2008" xfId="8364" xr:uid="{00000000-0005-0000-0000-000082190000}"/>
    <cellStyle name="s_OBGYN (2)_Comparativo VP TEC 2008_Luiz Sergio" xfId="8365" xr:uid="{00000000-0005-0000-0000-000083190000}"/>
    <cellStyle name="s_OBGYN (2)_Cópia de Modelo - Fluxo de Caixa Orcamento 09052009_V36_3" xfId="4166" xr:uid="{00000000-0005-0000-0000-000084190000}"/>
    <cellStyle name="s_OBGYN (2)_Fluxo de Caixa Orcamento FINAL_13052009" xfId="4167" xr:uid="{00000000-0005-0000-0000-000085190000}"/>
    <cellStyle name="s_OBGYN (2)_FM_dummyV4" xfId="4168" xr:uid="{00000000-0005-0000-0000-000086190000}"/>
    <cellStyle name="s_OBGYN (2)_lalur" xfId="4169" xr:uid="{00000000-0005-0000-0000-000087190000}"/>
    <cellStyle name="s_OBGYN (2)_Leasing_V3" xfId="4170" xr:uid="{00000000-0005-0000-0000-000088190000}"/>
    <cellStyle name="s_OBGYN (2)_MODELO PDP III" xfId="4171" xr:uid="{00000000-0005-0000-0000-000089190000}"/>
    <cellStyle name="s_OBGYN (2)_ORÇ_2009" xfId="4172" xr:uid="{00000000-0005-0000-0000-00008A190000}"/>
    <cellStyle name="s_OBGYN (2)_Pasta2" xfId="4173" xr:uid="{00000000-0005-0000-0000-00008B190000}"/>
    <cellStyle name="s_ORÇ_2009" xfId="4174" xr:uid="{00000000-0005-0000-0000-00008C190000}"/>
    <cellStyle name="s_Other Businesses (2)" xfId="4175" xr:uid="{00000000-0005-0000-0000-00008D190000}"/>
    <cellStyle name="s_Other Businesses (2)_1" xfId="4176" xr:uid="{00000000-0005-0000-0000-00008E190000}"/>
    <cellStyle name="s_Other Businesses (2)_1_Comparativo VP FIN v1_So 2008" xfId="8366" xr:uid="{00000000-0005-0000-0000-00008F190000}"/>
    <cellStyle name="s_Other Businesses (2)_1_Comparativo VP MKT 2008 v1_So 2008" xfId="8367" xr:uid="{00000000-0005-0000-0000-000090190000}"/>
    <cellStyle name="s_Other Businesses (2)_1_Comparativo VP TEC 2008 v1_So 2008" xfId="8368" xr:uid="{00000000-0005-0000-0000-000091190000}"/>
    <cellStyle name="s_Other Businesses (2)_1_Comparativo VP TEC 2008_Luiz Sergio" xfId="8369" xr:uid="{00000000-0005-0000-0000-000092190000}"/>
    <cellStyle name="s_Other Businesses (2)_1_Cópia de Modelo - Fluxo de Caixa Orcamento 09052009_V36_3" xfId="4177" xr:uid="{00000000-0005-0000-0000-000093190000}"/>
    <cellStyle name="s_Other Businesses (2)_1_Fluxo de Caixa Orcamento FINAL_13052009" xfId="4178" xr:uid="{00000000-0005-0000-0000-000094190000}"/>
    <cellStyle name="s_Other Businesses (2)_1_FM_dummyV4" xfId="4179" xr:uid="{00000000-0005-0000-0000-000095190000}"/>
    <cellStyle name="s_Other Businesses (2)_1_lalur" xfId="4180" xr:uid="{00000000-0005-0000-0000-000096190000}"/>
    <cellStyle name="s_Other Businesses (2)_1_Leasing_V3" xfId="4181" xr:uid="{00000000-0005-0000-0000-000097190000}"/>
    <cellStyle name="s_Other Businesses (2)_1_MODELO PDP III" xfId="4182" xr:uid="{00000000-0005-0000-0000-000098190000}"/>
    <cellStyle name="s_Other Businesses (2)_1_ORÇ_2009" xfId="4183" xr:uid="{00000000-0005-0000-0000-000099190000}"/>
    <cellStyle name="s_Other Businesses (2)_1_Pasta2" xfId="4184" xr:uid="{00000000-0005-0000-0000-00009A190000}"/>
    <cellStyle name="s_Other Businesses (2)_2" xfId="4185" xr:uid="{00000000-0005-0000-0000-00009B190000}"/>
    <cellStyle name="s_Other Businesses (2)_2_Comparativo VP FIN v1_So 2008" xfId="8370" xr:uid="{00000000-0005-0000-0000-00009C190000}"/>
    <cellStyle name="s_Other Businesses (2)_2_Comparativo VP MKT 2008 v1_So 2008" xfId="8371" xr:uid="{00000000-0005-0000-0000-00009D190000}"/>
    <cellStyle name="s_Other Businesses (2)_2_Comparativo VP TEC 2008 v1_So 2008" xfId="8372" xr:uid="{00000000-0005-0000-0000-00009E190000}"/>
    <cellStyle name="s_Other Businesses (2)_2_Comparativo VP TEC 2008_Luiz Sergio" xfId="8373" xr:uid="{00000000-0005-0000-0000-00009F190000}"/>
    <cellStyle name="s_Other Businesses (2)_2_Cópia de Modelo - Fluxo de Caixa Orcamento 09052009_V36_3" xfId="4186" xr:uid="{00000000-0005-0000-0000-0000A0190000}"/>
    <cellStyle name="s_Other Businesses (2)_2_Fluxo de Caixa Orcamento FINAL_13052009" xfId="4187" xr:uid="{00000000-0005-0000-0000-0000A1190000}"/>
    <cellStyle name="s_Other Businesses (2)_2_FM_dummyV4" xfId="4188" xr:uid="{00000000-0005-0000-0000-0000A2190000}"/>
    <cellStyle name="s_Other Businesses (2)_2_lalur" xfId="4189" xr:uid="{00000000-0005-0000-0000-0000A3190000}"/>
    <cellStyle name="s_Other Businesses (2)_2_Leasing_V3" xfId="4190" xr:uid="{00000000-0005-0000-0000-0000A4190000}"/>
    <cellStyle name="s_Other Businesses (2)_2_MODELO PDP III" xfId="4191" xr:uid="{00000000-0005-0000-0000-0000A5190000}"/>
    <cellStyle name="s_Other Businesses (2)_2_ORÇ_2009" xfId="4192" xr:uid="{00000000-0005-0000-0000-0000A6190000}"/>
    <cellStyle name="s_Other Businesses (2)_2_Pasta2" xfId="4193" xr:uid="{00000000-0005-0000-0000-0000A7190000}"/>
    <cellStyle name="s_Other Businesses (2)_Comparativo VP FIN v1_So 2008" xfId="8374" xr:uid="{00000000-0005-0000-0000-0000A8190000}"/>
    <cellStyle name="s_Other Businesses (2)_Comparativo VP MKT 2008 v1_So 2008" xfId="8375" xr:uid="{00000000-0005-0000-0000-0000A9190000}"/>
    <cellStyle name="s_Other Businesses (2)_Comparativo VP TEC 2008 v1_So 2008" xfId="8376" xr:uid="{00000000-0005-0000-0000-0000AA190000}"/>
    <cellStyle name="s_Other Businesses (2)_Comparativo VP TEC 2008_Luiz Sergio" xfId="8377" xr:uid="{00000000-0005-0000-0000-0000AB190000}"/>
    <cellStyle name="s_Other Businesses (2)_Cópia de Modelo - Fluxo de Caixa Orcamento 09052009_V36_3" xfId="4194" xr:uid="{00000000-0005-0000-0000-0000AC190000}"/>
    <cellStyle name="s_Other Businesses (2)_Fluxo de Caixa Orcamento FINAL_13052009" xfId="4195" xr:uid="{00000000-0005-0000-0000-0000AD190000}"/>
    <cellStyle name="s_Other Businesses (2)_FM_dummyV4" xfId="4196" xr:uid="{00000000-0005-0000-0000-0000AE190000}"/>
    <cellStyle name="s_Other Businesses (2)_lalur" xfId="4197" xr:uid="{00000000-0005-0000-0000-0000AF190000}"/>
    <cellStyle name="s_Other Businesses (2)_Leasing_V3" xfId="4198" xr:uid="{00000000-0005-0000-0000-0000B0190000}"/>
    <cellStyle name="s_Other Businesses (2)_MODELO PDP III" xfId="4199" xr:uid="{00000000-0005-0000-0000-0000B1190000}"/>
    <cellStyle name="s_Other Businesses (2)_ORÇ_2009" xfId="4200" xr:uid="{00000000-0005-0000-0000-0000B2190000}"/>
    <cellStyle name="s_Other Businesses (2)_Pasta2" xfId="4201" xr:uid="{00000000-0005-0000-0000-0000B3190000}"/>
    <cellStyle name="s_Ownership" xfId="4202" xr:uid="{00000000-0005-0000-0000-0000B4190000}"/>
    <cellStyle name="s_Ownership_1" xfId="4203" xr:uid="{00000000-0005-0000-0000-0000B5190000}"/>
    <cellStyle name="s_Ownership_1_Comparativo VP FIN v1_So 2008" xfId="8378" xr:uid="{00000000-0005-0000-0000-0000B6190000}"/>
    <cellStyle name="s_Ownership_1_Comparativo VP MKT 2008 v1_So 2008" xfId="8379" xr:uid="{00000000-0005-0000-0000-0000B7190000}"/>
    <cellStyle name="s_Ownership_1_Comparativo VP TEC 2008 v1_So 2008" xfId="8380" xr:uid="{00000000-0005-0000-0000-0000B8190000}"/>
    <cellStyle name="s_Ownership_1_Comparativo VP TEC 2008_Luiz Sergio" xfId="8381" xr:uid="{00000000-0005-0000-0000-0000B9190000}"/>
    <cellStyle name="s_Ownership_1_Cópia de Modelo - Fluxo de Caixa Orcamento 09052009_V36_3" xfId="4204" xr:uid="{00000000-0005-0000-0000-0000BA190000}"/>
    <cellStyle name="s_Ownership_1_Fluxo de Caixa Orcamento FINAL_13052009" xfId="4205" xr:uid="{00000000-0005-0000-0000-0000BB190000}"/>
    <cellStyle name="s_Ownership_1_FM_dummyV4" xfId="4206" xr:uid="{00000000-0005-0000-0000-0000BC190000}"/>
    <cellStyle name="s_Ownership_1_lalur" xfId="4207" xr:uid="{00000000-0005-0000-0000-0000BD190000}"/>
    <cellStyle name="s_Ownership_1_Leasing_V3" xfId="4208" xr:uid="{00000000-0005-0000-0000-0000BE190000}"/>
    <cellStyle name="s_Ownership_1_MODELO PDP III" xfId="4209" xr:uid="{00000000-0005-0000-0000-0000BF190000}"/>
    <cellStyle name="s_Ownership_1_ORÇ_2009" xfId="4210" xr:uid="{00000000-0005-0000-0000-0000C0190000}"/>
    <cellStyle name="s_Ownership_1_Pasta2" xfId="4211" xr:uid="{00000000-0005-0000-0000-0000C1190000}"/>
    <cellStyle name="s_Ownership_Comparativo VP FIN v1_So 2008" xfId="8382" xr:uid="{00000000-0005-0000-0000-0000C2190000}"/>
    <cellStyle name="s_Ownership_Comparativo VP MKT 2008 v1_So 2008" xfId="8383" xr:uid="{00000000-0005-0000-0000-0000C3190000}"/>
    <cellStyle name="s_Ownership_Comparativo VP TEC 2008 v1_So 2008" xfId="8384" xr:uid="{00000000-0005-0000-0000-0000C4190000}"/>
    <cellStyle name="s_Ownership_Comparativo VP TEC 2008_Luiz Sergio" xfId="8385" xr:uid="{00000000-0005-0000-0000-0000C5190000}"/>
    <cellStyle name="s_Ownership_Cópia de Modelo - Fluxo de Caixa Orcamento 09052009_V36_3" xfId="4212" xr:uid="{00000000-0005-0000-0000-0000C6190000}"/>
    <cellStyle name="s_Ownership_Fluxo de Caixa Orcamento FINAL_13052009" xfId="4213" xr:uid="{00000000-0005-0000-0000-0000C7190000}"/>
    <cellStyle name="s_Ownership_FM_dummyV4" xfId="4214" xr:uid="{00000000-0005-0000-0000-0000C8190000}"/>
    <cellStyle name="s_Ownership_lalur" xfId="4215" xr:uid="{00000000-0005-0000-0000-0000C9190000}"/>
    <cellStyle name="s_Ownership_Leasing_V3" xfId="4216" xr:uid="{00000000-0005-0000-0000-0000CA190000}"/>
    <cellStyle name="s_Ownership_MODELO PDP III" xfId="4217" xr:uid="{00000000-0005-0000-0000-0000CB190000}"/>
    <cellStyle name="s_Ownership_ORÇ_2009" xfId="4218" xr:uid="{00000000-0005-0000-0000-0000CC190000}"/>
    <cellStyle name="s_Ownership_Pasta2" xfId="4219" xr:uid="{00000000-0005-0000-0000-0000CD190000}"/>
    <cellStyle name="s_P_L_Ratios" xfId="4220" xr:uid="{00000000-0005-0000-0000-0000CE190000}"/>
    <cellStyle name="s_P_L_Ratios_B" xfId="4221" xr:uid="{00000000-0005-0000-0000-0000CF190000}"/>
    <cellStyle name="s_P_L_Ratios_B_Comparativo VP FIN v1_So 2008" xfId="8386" xr:uid="{00000000-0005-0000-0000-0000D0190000}"/>
    <cellStyle name="s_P_L_Ratios_B_Comparativo VP MKT 2008 v1_So 2008" xfId="8387" xr:uid="{00000000-0005-0000-0000-0000D1190000}"/>
    <cellStyle name="s_P_L_Ratios_B_Comparativo VP TEC 2008 v1_So 2008" xfId="8388" xr:uid="{00000000-0005-0000-0000-0000D2190000}"/>
    <cellStyle name="s_P_L_Ratios_B_Comparativo VP TEC 2008_Luiz Sergio" xfId="8389" xr:uid="{00000000-0005-0000-0000-0000D3190000}"/>
    <cellStyle name="s_P_L_Ratios_B_Cópia de Modelo - Fluxo de Caixa Orcamento 09052009_V36_3" xfId="4222" xr:uid="{00000000-0005-0000-0000-0000D4190000}"/>
    <cellStyle name="s_P_L_Ratios_B_Fluxo de Caixa Orcamento FINAL_13052009" xfId="4223" xr:uid="{00000000-0005-0000-0000-0000D5190000}"/>
    <cellStyle name="s_P_L_Ratios_B_FM_dummyV4" xfId="4224" xr:uid="{00000000-0005-0000-0000-0000D6190000}"/>
    <cellStyle name="s_P_L_Ratios_B_lalur" xfId="4225" xr:uid="{00000000-0005-0000-0000-0000D7190000}"/>
    <cellStyle name="s_P_L_Ratios_B_Leasing_V3" xfId="4226" xr:uid="{00000000-0005-0000-0000-0000D8190000}"/>
    <cellStyle name="s_P_L_Ratios_B_MODELO PDP III" xfId="4227" xr:uid="{00000000-0005-0000-0000-0000D9190000}"/>
    <cellStyle name="s_P_L_Ratios_B_ORÇ_2009" xfId="4228" xr:uid="{00000000-0005-0000-0000-0000DA190000}"/>
    <cellStyle name="s_P_L_Ratios_B_Pasta2" xfId="4229" xr:uid="{00000000-0005-0000-0000-0000DB190000}"/>
    <cellStyle name="s_P_L_Ratios_B_Q2 pipeline" xfId="4230" xr:uid="{00000000-0005-0000-0000-0000DC190000}"/>
    <cellStyle name="s_P_L_Ratios_B_Q2 pipeline 2" xfId="8390" xr:uid="{00000000-0005-0000-0000-0000DD190000}"/>
    <cellStyle name="s_P_L_Ratios_B_Q2 pipeline_Cópia de Modelo - Fluxo de Caixa Orcamento 09052009_V36_3" xfId="4231" xr:uid="{00000000-0005-0000-0000-0000DE190000}"/>
    <cellStyle name="s_P_L_Ratios_B_Q2 pipeline_Cópia de Modelo - Fluxo de Caixa Orcamento 09052009_V36_3 2" xfId="8391" xr:uid="{00000000-0005-0000-0000-0000DF190000}"/>
    <cellStyle name="s_P_L_Ratios_B_Q2 pipeline_Fluxo de Caixa Orcamento FINAL_13052009" xfId="4232" xr:uid="{00000000-0005-0000-0000-0000E0190000}"/>
    <cellStyle name="s_P_L_Ratios_B_Q2 pipeline_Fluxo de Caixa Orcamento FINAL_13052009 2" xfId="8392" xr:uid="{00000000-0005-0000-0000-0000E1190000}"/>
    <cellStyle name="s_P_L_Ratios_B_Q2 pipeline_FM_dummyV4" xfId="4233" xr:uid="{00000000-0005-0000-0000-0000E2190000}"/>
    <cellStyle name="s_P_L_Ratios_B_Q2 pipeline_lalur" xfId="4234" xr:uid="{00000000-0005-0000-0000-0000E3190000}"/>
    <cellStyle name="s_P_L_Ratios_B_Q2 pipeline_Leasing_V3" xfId="4235" xr:uid="{00000000-0005-0000-0000-0000E4190000}"/>
    <cellStyle name="s_P_L_Ratios_B_Q2 pipeline_MODELO PDP III" xfId="4236" xr:uid="{00000000-0005-0000-0000-0000E5190000}"/>
    <cellStyle name="s_P_L_Ratios_B_Q2 pipeline_ORÇ_2009" xfId="4237" xr:uid="{00000000-0005-0000-0000-0000E6190000}"/>
    <cellStyle name="s_P_L_Ratios_B_Q2 pipeline_ORÇ_2009 2" xfId="8393" xr:uid="{00000000-0005-0000-0000-0000E7190000}"/>
    <cellStyle name="s_P_L_Ratios_B_Q2 pipeline_Pasta2" xfId="4238" xr:uid="{00000000-0005-0000-0000-0000E8190000}"/>
    <cellStyle name="s_P_L_Ratios_B_Q2 pipeline_Pasta2 2" xfId="8394" xr:uid="{00000000-0005-0000-0000-0000E9190000}"/>
    <cellStyle name="s_P_L_Ratios_Comparativo VP FIN v1_So 2008" xfId="8395" xr:uid="{00000000-0005-0000-0000-0000EA190000}"/>
    <cellStyle name="s_P_L_Ratios_Comparativo VP MKT 2008 v1_So 2008" xfId="8396" xr:uid="{00000000-0005-0000-0000-0000EB190000}"/>
    <cellStyle name="s_P_L_Ratios_Comparativo VP TEC 2008 v1_So 2008" xfId="8397" xr:uid="{00000000-0005-0000-0000-0000EC190000}"/>
    <cellStyle name="s_P_L_Ratios_Comparativo VP TEC 2008_Luiz Sergio" xfId="8398" xr:uid="{00000000-0005-0000-0000-0000ED190000}"/>
    <cellStyle name="s_P_L_Ratios_Cópia de Modelo - Fluxo de Caixa Orcamento 09052009_V36_3" xfId="4239" xr:uid="{00000000-0005-0000-0000-0000EE190000}"/>
    <cellStyle name="s_P_L_Ratios_Fluxo de Caixa Orcamento FINAL_13052009" xfId="4240" xr:uid="{00000000-0005-0000-0000-0000EF190000}"/>
    <cellStyle name="s_P_L_Ratios_FM_dummyV4" xfId="4241" xr:uid="{00000000-0005-0000-0000-0000F0190000}"/>
    <cellStyle name="s_P_L_Ratios_lalur" xfId="4242" xr:uid="{00000000-0005-0000-0000-0000F1190000}"/>
    <cellStyle name="s_P_L_Ratios_Leasing_V3" xfId="4243" xr:uid="{00000000-0005-0000-0000-0000F2190000}"/>
    <cellStyle name="s_P_L_Ratios_MODELO PDP III" xfId="4244" xr:uid="{00000000-0005-0000-0000-0000F3190000}"/>
    <cellStyle name="s_P_L_Ratios_ORÇ_2009" xfId="4245" xr:uid="{00000000-0005-0000-0000-0000F4190000}"/>
    <cellStyle name="s_P_L_Ratios_Pasta2" xfId="4246" xr:uid="{00000000-0005-0000-0000-0000F5190000}"/>
    <cellStyle name="s_P_L_Ratios_Q2 pipeline" xfId="4247" xr:uid="{00000000-0005-0000-0000-0000F6190000}"/>
    <cellStyle name="s_P_L_Ratios_Q2 pipeline 2" xfId="8399" xr:uid="{00000000-0005-0000-0000-0000F7190000}"/>
    <cellStyle name="s_P_L_Ratios_Q2 pipeline_Cópia de Modelo - Fluxo de Caixa Orcamento 09052009_V36_3" xfId="4248" xr:uid="{00000000-0005-0000-0000-0000F8190000}"/>
    <cellStyle name="s_P_L_Ratios_Q2 pipeline_Cópia de Modelo - Fluxo de Caixa Orcamento 09052009_V36_3 2" xfId="8400" xr:uid="{00000000-0005-0000-0000-0000F9190000}"/>
    <cellStyle name="s_P_L_Ratios_Q2 pipeline_Fluxo de Caixa Orcamento FINAL_13052009" xfId="4249" xr:uid="{00000000-0005-0000-0000-0000FA190000}"/>
    <cellStyle name="s_P_L_Ratios_Q2 pipeline_Fluxo de Caixa Orcamento FINAL_13052009 2" xfId="8401" xr:uid="{00000000-0005-0000-0000-0000FB190000}"/>
    <cellStyle name="s_P_L_Ratios_Q2 pipeline_FM_dummyV4" xfId="4250" xr:uid="{00000000-0005-0000-0000-0000FC190000}"/>
    <cellStyle name="s_P_L_Ratios_Q2 pipeline_lalur" xfId="4251" xr:uid="{00000000-0005-0000-0000-0000FD190000}"/>
    <cellStyle name="s_P_L_Ratios_Q2 pipeline_Leasing_V3" xfId="4252" xr:uid="{00000000-0005-0000-0000-0000FE190000}"/>
    <cellStyle name="s_P_L_Ratios_Q2 pipeline_MODELO PDP III" xfId="4253" xr:uid="{00000000-0005-0000-0000-0000FF190000}"/>
    <cellStyle name="s_P_L_Ratios_Q2 pipeline_ORÇ_2009" xfId="4254" xr:uid="{00000000-0005-0000-0000-0000001A0000}"/>
    <cellStyle name="s_P_L_Ratios_Q2 pipeline_ORÇ_2009 2" xfId="8402" xr:uid="{00000000-0005-0000-0000-0000011A0000}"/>
    <cellStyle name="s_P_L_Ratios_Q2 pipeline_Pasta2" xfId="4255" xr:uid="{00000000-0005-0000-0000-0000021A0000}"/>
    <cellStyle name="s_P_L_Ratios_Q2 pipeline_Pasta2 2" xfId="8403" xr:uid="{00000000-0005-0000-0000-0000031A0000}"/>
    <cellStyle name="s_Pasta2" xfId="4256" xr:uid="{00000000-0005-0000-0000-0000041A0000}"/>
    <cellStyle name="s_PDGDCF1" xfId="4257" xr:uid="{00000000-0005-0000-0000-0000051A0000}"/>
    <cellStyle name="s_PDGDCF1_Comparativo VP FIN v1_So 2008" xfId="8404" xr:uid="{00000000-0005-0000-0000-0000061A0000}"/>
    <cellStyle name="s_PDGDCF1_Comparativo VP MKT 2008 v1_So 2008" xfId="8405" xr:uid="{00000000-0005-0000-0000-0000071A0000}"/>
    <cellStyle name="s_PDGDCF1_Comparativo VP TEC 2008 v1_So 2008" xfId="8406" xr:uid="{00000000-0005-0000-0000-0000081A0000}"/>
    <cellStyle name="s_PDGDCF1_Comparativo VP TEC 2008_Luiz Sergio" xfId="8407" xr:uid="{00000000-0005-0000-0000-0000091A0000}"/>
    <cellStyle name="s_PDGDCF1_Cópia de Modelo - Fluxo de Caixa Orcamento 09052009_V36_3" xfId="4258" xr:uid="{00000000-0005-0000-0000-00000A1A0000}"/>
    <cellStyle name="s_PDGDCF1_Fluxo de Caixa Orcamento FINAL_13052009" xfId="4259" xr:uid="{00000000-0005-0000-0000-00000B1A0000}"/>
    <cellStyle name="s_PDGDCF1_FM_dummyV4" xfId="4260" xr:uid="{00000000-0005-0000-0000-00000C1A0000}"/>
    <cellStyle name="s_PDGDCF1_lalur" xfId="4261" xr:uid="{00000000-0005-0000-0000-00000D1A0000}"/>
    <cellStyle name="s_PDGDCF1_Leasing_V3" xfId="4262" xr:uid="{00000000-0005-0000-0000-00000E1A0000}"/>
    <cellStyle name="s_PDGDCF1_MODELO PDP III" xfId="4263" xr:uid="{00000000-0005-0000-0000-00000F1A0000}"/>
    <cellStyle name="s_PDGDCF1_ORÇ_2009" xfId="4264" xr:uid="{00000000-0005-0000-0000-0000101A0000}"/>
    <cellStyle name="s_PDGDCF1_Pasta2" xfId="4265" xr:uid="{00000000-0005-0000-0000-0000111A0000}"/>
    <cellStyle name="s_pearl_wacc" xfId="4266" xr:uid="{00000000-0005-0000-0000-0000121A0000}"/>
    <cellStyle name="s_pearl_wacc_Comparativo VP FIN v1_So 2008" xfId="8408" xr:uid="{00000000-0005-0000-0000-0000131A0000}"/>
    <cellStyle name="s_pearl_wacc_Comparativo VP MKT 2008 v1_So 2008" xfId="8409" xr:uid="{00000000-0005-0000-0000-0000141A0000}"/>
    <cellStyle name="s_pearl_wacc_Comparativo VP TEC 2008 v1_So 2008" xfId="8410" xr:uid="{00000000-0005-0000-0000-0000151A0000}"/>
    <cellStyle name="s_pearl_wacc_Comparativo VP TEC 2008_Luiz Sergio" xfId="8411" xr:uid="{00000000-0005-0000-0000-0000161A0000}"/>
    <cellStyle name="s_pearl_wacc_Cópia de Modelo - Fluxo de Caixa Orcamento 09052009_V36_3" xfId="4267" xr:uid="{00000000-0005-0000-0000-0000171A0000}"/>
    <cellStyle name="s_pearl_wacc_Fluxo de Caixa Orcamento FINAL_13052009" xfId="4268" xr:uid="{00000000-0005-0000-0000-0000181A0000}"/>
    <cellStyle name="s_pearl_wacc_FM_dummyV4" xfId="4269" xr:uid="{00000000-0005-0000-0000-0000191A0000}"/>
    <cellStyle name="s_pearl_wacc_lalur" xfId="4270" xr:uid="{00000000-0005-0000-0000-00001A1A0000}"/>
    <cellStyle name="s_pearl_wacc_Leasing_V3" xfId="4271" xr:uid="{00000000-0005-0000-0000-00001B1A0000}"/>
    <cellStyle name="s_pearl_wacc_MODELO PDP III" xfId="4272" xr:uid="{00000000-0005-0000-0000-00001C1A0000}"/>
    <cellStyle name="s_pearl_wacc_ORÇ_2009" xfId="4273" xr:uid="{00000000-0005-0000-0000-00001D1A0000}"/>
    <cellStyle name="s_pearl_wacc_Pasta2" xfId="4274" xr:uid="{00000000-0005-0000-0000-00001E1A0000}"/>
    <cellStyle name="s_pearl_wacc_Q2 pipeline" xfId="4275" xr:uid="{00000000-0005-0000-0000-00001F1A0000}"/>
    <cellStyle name="s_pearl_wacc_Q2 pipeline 2" xfId="8412" xr:uid="{00000000-0005-0000-0000-0000201A0000}"/>
    <cellStyle name="s_pearl_wacc_Q2 pipeline_Cópia de Modelo - Fluxo de Caixa Orcamento 09052009_V36_3" xfId="4276" xr:uid="{00000000-0005-0000-0000-0000211A0000}"/>
    <cellStyle name="s_pearl_wacc_Q2 pipeline_Cópia de Modelo - Fluxo de Caixa Orcamento 09052009_V36_3 2" xfId="8413" xr:uid="{00000000-0005-0000-0000-0000221A0000}"/>
    <cellStyle name="s_pearl_wacc_Q2 pipeline_Fluxo de Caixa Orcamento FINAL_13052009" xfId="4277" xr:uid="{00000000-0005-0000-0000-0000231A0000}"/>
    <cellStyle name="s_pearl_wacc_Q2 pipeline_Fluxo de Caixa Orcamento FINAL_13052009 2" xfId="8414" xr:uid="{00000000-0005-0000-0000-0000241A0000}"/>
    <cellStyle name="s_pearl_wacc_Q2 pipeline_FM_dummyV4" xfId="4278" xr:uid="{00000000-0005-0000-0000-0000251A0000}"/>
    <cellStyle name="s_pearl_wacc_Q2 pipeline_lalur" xfId="4279" xr:uid="{00000000-0005-0000-0000-0000261A0000}"/>
    <cellStyle name="s_pearl_wacc_Q2 pipeline_Leasing_V3" xfId="4280" xr:uid="{00000000-0005-0000-0000-0000271A0000}"/>
    <cellStyle name="s_pearl_wacc_Q2 pipeline_MODELO PDP III" xfId="4281" xr:uid="{00000000-0005-0000-0000-0000281A0000}"/>
    <cellStyle name="s_pearl_wacc_Q2 pipeline_ORÇ_2009" xfId="4282" xr:uid="{00000000-0005-0000-0000-0000291A0000}"/>
    <cellStyle name="s_pearl_wacc_Q2 pipeline_ORÇ_2009 2" xfId="8415" xr:uid="{00000000-0005-0000-0000-00002A1A0000}"/>
    <cellStyle name="s_pearl_wacc_Q2 pipeline_Pasta2" xfId="4283" xr:uid="{00000000-0005-0000-0000-00002B1A0000}"/>
    <cellStyle name="s_pearl_wacc_Q2 pipeline_Pasta2 2" xfId="8416" xr:uid="{00000000-0005-0000-0000-00002C1A0000}"/>
    <cellStyle name="s_PFMA Cap" xfId="4284" xr:uid="{00000000-0005-0000-0000-00002D1A0000}"/>
    <cellStyle name="s_PFMA Cap_1" xfId="4285" xr:uid="{00000000-0005-0000-0000-00002E1A0000}"/>
    <cellStyle name="s_PFMA Cap_1_Comparativo VP FIN v1_So 2008" xfId="8417" xr:uid="{00000000-0005-0000-0000-00002F1A0000}"/>
    <cellStyle name="s_PFMA Cap_1_Comparativo VP MKT 2008 v1_So 2008" xfId="8418" xr:uid="{00000000-0005-0000-0000-0000301A0000}"/>
    <cellStyle name="s_PFMA Cap_1_Comparativo VP TEC 2008 v1_So 2008" xfId="8419" xr:uid="{00000000-0005-0000-0000-0000311A0000}"/>
    <cellStyle name="s_PFMA Cap_1_Comparativo VP TEC 2008_Luiz Sergio" xfId="8420" xr:uid="{00000000-0005-0000-0000-0000321A0000}"/>
    <cellStyle name="s_PFMA Cap_1_Cópia de Modelo - Fluxo de Caixa Orcamento 09052009_V36_3" xfId="4286" xr:uid="{00000000-0005-0000-0000-0000331A0000}"/>
    <cellStyle name="s_PFMA Cap_1_Fluxo de Caixa Orcamento FINAL_13052009" xfId="4287" xr:uid="{00000000-0005-0000-0000-0000341A0000}"/>
    <cellStyle name="s_PFMA Cap_1_FM_dummyV4" xfId="4288" xr:uid="{00000000-0005-0000-0000-0000351A0000}"/>
    <cellStyle name="s_PFMA Cap_1_lalur" xfId="4289" xr:uid="{00000000-0005-0000-0000-0000361A0000}"/>
    <cellStyle name="s_PFMA Cap_1_Leasing_V3" xfId="4290" xr:uid="{00000000-0005-0000-0000-0000371A0000}"/>
    <cellStyle name="s_PFMA Cap_1_Mary911" xfId="4291" xr:uid="{00000000-0005-0000-0000-0000381A0000}"/>
    <cellStyle name="s_PFMA Cap_1_Mary911_Comparativo VP FIN v1_So 2008" xfId="8421" xr:uid="{00000000-0005-0000-0000-0000391A0000}"/>
    <cellStyle name="s_PFMA Cap_1_Mary911_Comparativo VP MKT 2008 v1_So 2008" xfId="8422" xr:uid="{00000000-0005-0000-0000-00003A1A0000}"/>
    <cellStyle name="s_PFMA Cap_1_Mary911_Comparativo VP TEC 2008 v1_So 2008" xfId="8423" xr:uid="{00000000-0005-0000-0000-00003B1A0000}"/>
    <cellStyle name="s_PFMA Cap_1_Mary911_Comparativo VP TEC 2008_Luiz Sergio" xfId="8424" xr:uid="{00000000-0005-0000-0000-00003C1A0000}"/>
    <cellStyle name="s_PFMA Cap_1_Mary911_Cópia de Modelo - Fluxo de Caixa Orcamento 09052009_V36_3" xfId="4292" xr:uid="{00000000-0005-0000-0000-00003D1A0000}"/>
    <cellStyle name="s_PFMA Cap_1_Mary911_Fluxo de Caixa Orcamento FINAL_13052009" xfId="4293" xr:uid="{00000000-0005-0000-0000-00003E1A0000}"/>
    <cellStyle name="s_PFMA Cap_1_Mary911_FM_dummyV4" xfId="4294" xr:uid="{00000000-0005-0000-0000-00003F1A0000}"/>
    <cellStyle name="s_PFMA Cap_1_Mary911_lalur" xfId="4295" xr:uid="{00000000-0005-0000-0000-0000401A0000}"/>
    <cellStyle name="s_PFMA Cap_1_Mary911_Leasing_V3" xfId="4296" xr:uid="{00000000-0005-0000-0000-0000411A0000}"/>
    <cellStyle name="s_PFMA Cap_1_Mary911_MODELO PDP III" xfId="4297" xr:uid="{00000000-0005-0000-0000-0000421A0000}"/>
    <cellStyle name="s_PFMA Cap_1_Mary911_ORÇ_2009" xfId="4298" xr:uid="{00000000-0005-0000-0000-0000431A0000}"/>
    <cellStyle name="s_PFMA Cap_1_Mary911_Pasta2" xfId="4299" xr:uid="{00000000-0005-0000-0000-0000441A0000}"/>
    <cellStyle name="s_PFMA Cap_1_MODELO PDP III" xfId="4300" xr:uid="{00000000-0005-0000-0000-0000451A0000}"/>
    <cellStyle name="s_PFMA Cap_1_mona0915a" xfId="4301" xr:uid="{00000000-0005-0000-0000-0000461A0000}"/>
    <cellStyle name="s_PFMA Cap_1_mona0915a_Comparativo VP FIN v1_So 2008" xfId="8425" xr:uid="{00000000-0005-0000-0000-0000471A0000}"/>
    <cellStyle name="s_PFMA Cap_1_mona0915a_Comparativo VP MKT 2008 v1_So 2008" xfId="8426" xr:uid="{00000000-0005-0000-0000-0000481A0000}"/>
    <cellStyle name="s_PFMA Cap_1_mona0915a_Comparativo VP TEC 2008 v1_So 2008" xfId="8427" xr:uid="{00000000-0005-0000-0000-0000491A0000}"/>
    <cellStyle name="s_PFMA Cap_1_mona0915a_Comparativo VP TEC 2008_Luiz Sergio" xfId="8428" xr:uid="{00000000-0005-0000-0000-00004A1A0000}"/>
    <cellStyle name="s_PFMA Cap_1_mona0915a_Cópia de Modelo - Fluxo de Caixa Orcamento 09052009_V36_3" xfId="4302" xr:uid="{00000000-0005-0000-0000-00004B1A0000}"/>
    <cellStyle name="s_PFMA Cap_1_mona0915a_Fluxo de Caixa Orcamento FINAL_13052009" xfId="4303" xr:uid="{00000000-0005-0000-0000-00004C1A0000}"/>
    <cellStyle name="s_PFMA Cap_1_mona0915a_FM_dummyV4" xfId="4304" xr:uid="{00000000-0005-0000-0000-00004D1A0000}"/>
    <cellStyle name="s_PFMA Cap_1_mona0915a_lalur" xfId="4305" xr:uid="{00000000-0005-0000-0000-00004E1A0000}"/>
    <cellStyle name="s_PFMA Cap_1_mona0915a_Leasing_V3" xfId="4306" xr:uid="{00000000-0005-0000-0000-00004F1A0000}"/>
    <cellStyle name="s_PFMA Cap_1_mona0915a_MODELO PDP III" xfId="4307" xr:uid="{00000000-0005-0000-0000-0000501A0000}"/>
    <cellStyle name="s_PFMA Cap_1_mona0915a_ORÇ_2009" xfId="4308" xr:uid="{00000000-0005-0000-0000-0000511A0000}"/>
    <cellStyle name="s_PFMA Cap_1_mona0915a_Pasta2" xfId="4309" xr:uid="{00000000-0005-0000-0000-0000521A0000}"/>
    <cellStyle name="s_PFMA Cap_1_mona0915b" xfId="4310" xr:uid="{00000000-0005-0000-0000-0000531A0000}"/>
    <cellStyle name="s_PFMA Cap_1_mona0915b_Comparativo VP FIN v1_So 2008" xfId="8429" xr:uid="{00000000-0005-0000-0000-0000541A0000}"/>
    <cellStyle name="s_PFMA Cap_1_mona0915b_Comparativo VP MKT 2008 v1_So 2008" xfId="8430" xr:uid="{00000000-0005-0000-0000-0000551A0000}"/>
    <cellStyle name="s_PFMA Cap_1_mona0915b_Comparativo VP TEC 2008 v1_So 2008" xfId="8431" xr:uid="{00000000-0005-0000-0000-0000561A0000}"/>
    <cellStyle name="s_PFMA Cap_1_mona0915b_Comparativo VP TEC 2008_Luiz Sergio" xfId="8432" xr:uid="{00000000-0005-0000-0000-0000571A0000}"/>
    <cellStyle name="s_PFMA Cap_1_mona0915b_Cópia de Modelo - Fluxo de Caixa Orcamento 09052009_V36_3" xfId="4311" xr:uid="{00000000-0005-0000-0000-0000581A0000}"/>
    <cellStyle name="s_PFMA Cap_1_mona0915b_Fluxo de Caixa Orcamento FINAL_13052009" xfId="4312" xr:uid="{00000000-0005-0000-0000-0000591A0000}"/>
    <cellStyle name="s_PFMA Cap_1_mona0915b_FM_dummyV4" xfId="4313" xr:uid="{00000000-0005-0000-0000-00005A1A0000}"/>
    <cellStyle name="s_PFMA Cap_1_mona0915b_lalur" xfId="4314" xr:uid="{00000000-0005-0000-0000-00005B1A0000}"/>
    <cellStyle name="s_PFMA Cap_1_mona0915b_Leasing_V3" xfId="4315" xr:uid="{00000000-0005-0000-0000-00005C1A0000}"/>
    <cellStyle name="s_PFMA Cap_1_mona0915b_MODELO PDP III" xfId="4316" xr:uid="{00000000-0005-0000-0000-00005D1A0000}"/>
    <cellStyle name="s_PFMA Cap_1_mona0915b_ORÇ_2009" xfId="4317" xr:uid="{00000000-0005-0000-0000-00005E1A0000}"/>
    <cellStyle name="s_PFMA Cap_1_mona0915b_Pasta2" xfId="4318" xr:uid="{00000000-0005-0000-0000-00005F1A0000}"/>
    <cellStyle name="s_PFMA Cap_1_ORÇ_2009" xfId="4319" xr:uid="{00000000-0005-0000-0000-0000601A0000}"/>
    <cellStyle name="s_PFMA Cap_1_Pasta2" xfId="4320" xr:uid="{00000000-0005-0000-0000-0000611A0000}"/>
    <cellStyle name="s_PFMA Cap_2" xfId="4321" xr:uid="{00000000-0005-0000-0000-0000621A0000}"/>
    <cellStyle name="s_PFMA Cap_2_Comparativo VP FIN v1_So 2008" xfId="8433" xr:uid="{00000000-0005-0000-0000-0000631A0000}"/>
    <cellStyle name="s_PFMA Cap_2_Comparativo VP MKT 2008 v1_So 2008" xfId="8434" xr:uid="{00000000-0005-0000-0000-0000641A0000}"/>
    <cellStyle name="s_PFMA Cap_2_Comparativo VP TEC 2008 v1_So 2008" xfId="8435" xr:uid="{00000000-0005-0000-0000-0000651A0000}"/>
    <cellStyle name="s_PFMA Cap_2_Comparativo VP TEC 2008_Luiz Sergio" xfId="8436" xr:uid="{00000000-0005-0000-0000-0000661A0000}"/>
    <cellStyle name="s_PFMA Cap_2_Cópia de Modelo - Fluxo de Caixa Orcamento 09052009_V36_3" xfId="4322" xr:uid="{00000000-0005-0000-0000-0000671A0000}"/>
    <cellStyle name="s_PFMA Cap_2_Fluxo de Caixa Orcamento FINAL_13052009" xfId="4323" xr:uid="{00000000-0005-0000-0000-0000681A0000}"/>
    <cellStyle name="s_PFMA Cap_2_FM_dummyV4" xfId="4324" xr:uid="{00000000-0005-0000-0000-0000691A0000}"/>
    <cellStyle name="s_PFMA Cap_2_lalur" xfId="4325" xr:uid="{00000000-0005-0000-0000-00006A1A0000}"/>
    <cellStyle name="s_PFMA Cap_2_Leasing_V3" xfId="4326" xr:uid="{00000000-0005-0000-0000-00006B1A0000}"/>
    <cellStyle name="s_PFMA Cap_2_MODELO PDP III" xfId="4327" xr:uid="{00000000-0005-0000-0000-00006C1A0000}"/>
    <cellStyle name="s_PFMA Cap_2_ORÇ_2009" xfId="4328" xr:uid="{00000000-0005-0000-0000-00006D1A0000}"/>
    <cellStyle name="s_PFMA Cap_2_Pasta2" xfId="4329" xr:uid="{00000000-0005-0000-0000-00006E1A0000}"/>
    <cellStyle name="s_PFMA Cap_Comparativo VP FIN v1_So 2008" xfId="8437" xr:uid="{00000000-0005-0000-0000-00006F1A0000}"/>
    <cellStyle name="s_PFMA Cap_Comparativo VP MKT 2008 v1_So 2008" xfId="8438" xr:uid="{00000000-0005-0000-0000-0000701A0000}"/>
    <cellStyle name="s_PFMA Cap_Comparativo VP TEC 2008 v1_So 2008" xfId="8439" xr:uid="{00000000-0005-0000-0000-0000711A0000}"/>
    <cellStyle name="s_PFMA Cap_Comparativo VP TEC 2008_Luiz Sergio" xfId="8440" xr:uid="{00000000-0005-0000-0000-0000721A0000}"/>
    <cellStyle name="s_PFMA Cap_Cópia de Modelo - Fluxo de Caixa Orcamento 09052009_V36_3" xfId="4330" xr:uid="{00000000-0005-0000-0000-0000731A0000}"/>
    <cellStyle name="s_PFMA Cap_Fluxo de Caixa Orcamento FINAL_13052009" xfId="4331" xr:uid="{00000000-0005-0000-0000-0000741A0000}"/>
    <cellStyle name="s_PFMA Cap_FM_dummyV4" xfId="4332" xr:uid="{00000000-0005-0000-0000-0000751A0000}"/>
    <cellStyle name="s_PFMA Cap_lalur" xfId="4333" xr:uid="{00000000-0005-0000-0000-0000761A0000}"/>
    <cellStyle name="s_PFMA Cap_Leasing_V3" xfId="4334" xr:uid="{00000000-0005-0000-0000-0000771A0000}"/>
    <cellStyle name="s_PFMA Cap_Mary911" xfId="4335" xr:uid="{00000000-0005-0000-0000-0000781A0000}"/>
    <cellStyle name="s_PFMA Cap_Mary911_Comparativo VP FIN v1_So 2008" xfId="8441" xr:uid="{00000000-0005-0000-0000-0000791A0000}"/>
    <cellStyle name="s_PFMA Cap_Mary911_Comparativo VP MKT 2008 v1_So 2008" xfId="8442" xr:uid="{00000000-0005-0000-0000-00007A1A0000}"/>
    <cellStyle name="s_PFMA Cap_Mary911_Comparativo VP TEC 2008 v1_So 2008" xfId="8443" xr:uid="{00000000-0005-0000-0000-00007B1A0000}"/>
    <cellStyle name="s_PFMA Cap_Mary911_Comparativo VP TEC 2008_Luiz Sergio" xfId="8444" xr:uid="{00000000-0005-0000-0000-00007C1A0000}"/>
    <cellStyle name="s_PFMA Cap_Mary911_Cópia de Modelo - Fluxo de Caixa Orcamento 09052009_V36_3" xfId="4336" xr:uid="{00000000-0005-0000-0000-00007D1A0000}"/>
    <cellStyle name="s_PFMA Cap_Mary911_Fluxo de Caixa Orcamento FINAL_13052009" xfId="4337" xr:uid="{00000000-0005-0000-0000-00007E1A0000}"/>
    <cellStyle name="s_PFMA Cap_Mary911_FM_dummyV4" xfId="4338" xr:uid="{00000000-0005-0000-0000-00007F1A0000}"/>
    <cellStyle name="s_PFMA Cap_Mary911_lalur" xfId="4339" xr:uid="{00000000-0005-0000-0000-0000801A0000}"/>
    <cellStyle name="s_PFMA Cap_Mary911_Leasing_V3" xfId="4340" xr:uid="{00000000-0005-0000-0000-0000811A0000}"/>
    <cellStyle name="s_PFMA Cap_Mary911_MODELO PDP III" xfId="4341" xr:uid="{00000000-0005-0000-0000-0000821A0000}"/>
    <cellStyle name="s_PFMA Cap_Mary911_ORÇ_2009" xfId="4342" xr:uid="{00000000-0005-0000-0000-0000831A0000}"/>
    <cellStyle name="s_PFMA Cap_Mary911_Pasta2" xfId="4343" xr:uid="{00000000-0005-0000-0000-0000841A0000}"/>
    <cellStyle name="s_PFMA Cap_MODELO PDP III" xfId="4344" xr:uid="{00000000-0005-0000-0000-0000851A0000}"/>
    <cellStyle name="s_PFMA Cap_mona0915a" xfId="4345" xr:uid="{00000000-0005-0000-0000-0000861A0000}"/>
    <cellStyle name="s_PFMA Cap_mona0915a_Comparativo VP FIN v1_So 2008" xfId="8445" xr:uid="{00000000-0005-0000-0000-0000871A0000}"/>
    <cellStyle name="s_PFMA Cap_mona0915a_Comparativo VP MKT 2008 v1_So 2008" xfId="8446" xr:uid="{00000000-0005-0000-0000-0000881A0000}"/>
    <cellStyle name="s_PFMA Cap_mona0915a_Comparativo VP TEC 2008 v1_So 2008" xfId="8447" xr:uid="{00000000-0005-0000-0000-0000891A0000}"/>
    <cellStyle name="s_PFMA Cap_mona0915a_Comparativo VP TEC 2008_Luiz Sergio" xfId="8448" xr:uid="{00000000-0005-0000-0000-00008A1A0000}"/>
    <cellStyle name="s_PFMA Cap_mona0915a_Cópia de Modelo - Fluxo de Caixa Orcamento 09052009_V36_3" xfId="4346" xr:uid="{00000000-0005-0000-0000-00008B1A0000}"/>
    <cellStyle name="s_PFMA Cap_mona0915a_Fluxo de Caixa Orcamento FINAL_13052009" xfId="4347" xr:uid="{00000000-0005-0000-0000-00008C1A0000}"/>
    <cellStyle name="s_PFMA Cap_mona0915a_FM_dummyV4" xfId="4348" xr:uid="{00000000-0005-0000-0000-00008D1A0000}"/>
    <cellStyle name="s_PFMA Cap_mona0915a_lalur" xfId="4349" xr:uid="{00000000-0005-0000-0000-00008E1A0000}"/>
    <cellStyle name="s_PFMA Cap_mona0915a_Leasing_V3" xfId="4350" xr:uid="{00000000-0005-0000-0000-00008F1A0000}"/>
    <cellStyle name="s_PFMA Cap_mona0915a_MODELO PDP III" xfId="4351" xr:uid="{00000000-0005-0000-0000-0000901A0000}"/>
    <cellStyle name="s_PFMA Cap_mona0915a_ORÇ_2009" xfId="4352" xr:uid="{00000000-0005-0000-0000-0000911A0000}"/>
    <cellStyle name="s_PFMA Cap_mona0915a_Pasta2" xfId="4353" xr:uid="{00000000-0005-0000-0000-0000921A0000}"/>
    <cellStyle name="s_PFMA Cap_mona0915b" xfId="4354" xr:uid="{00000000-0005-0000-0000-0000931A0000}"/>
    <cellStyle name="s_PFMA Cap_mona0915b_Comparativo VP FIN v1_So 2008" xfId="8449" xr:uid="{00000000-0005-0000-0000-0000941A0000}"/>
    <cellStyle name="s_PFMA Cap_mona0915b_Comparativo VP MKT 2008 v1_So 2008" xfId="8450" xr:uid="{00000000-0005-0000-0000-0000951A0000}"/>
    <cellStyle name="s_PFMA Cap_mona0915b_Comparativo VP TEC 2008 v1_So 2008" xfId="8451" xr:uid="{00000000-0005-0000-0000-0000961A0000}"/>
    <cellStyle name="s_PFMA Cap_mona0915b_Comparativo VP TEC 2008_Luiz Sergio" xfId="8452" xr:uid="{00000000-0005-0000-0000-0000971A0000}"/>
    <cellStyle name="s_PFMA Cap_mona0915b_Cópia de Modelo - Fluxo de Caixa Orcamento 09052009_V36_3" xfId="4355" xr:uid="{00000000-0005-0000-0000-0000981A0000}"/>
    <cellStyle name="s_PFMA Cap_mona0915b_Fluxo de Caixa Orcamento FINAL_13052009" xfId="4356" xr:uid="{00000000-0005-0000-0000-0000991A0000}"/>
    <cellStyle name="s_PFMA Cap_mona0915b_FM_dummyV4" xfId="4357" xr:uid="{00000000-0005-0000-0000-00009A1A0000}"/>
    <cellStyle name="s_PFMA Cap_mona0915b_lalur" xfId="4358" xr:uid="{00000000-0005-0000-0000-00009B1A0000}"/>
    <cellStyle name="s_PFMA Cap_mona0915b_Leasing_V3" xfId="4359" xr:uid="{00000000-0005-0000-0000-00009C1A0000}"/>
    <cellStyle name="s_PFMA Cap_mona0915b_MODELO PDP III" xfId="4360" xr:uid="{00000000-0005-0000-0000-00009D1A0000}"/>
    <cellStyle name="s_PFMA Cap_mona0915b_ORÇ_2009" xfId="4361" xr:uid="{00000000-0005-0000-0000-00009E1A0000}"/>
    <cellStyle name="s_PFMA Cap_mona0915b_Pasta2" xfId="4362" xr:uid="{00000000-0005-0000-0000-00009F1A0000}"/>
    <cellStyle name="s_PFMA Cap_ORÇ_2009" xfId="4363" xr:uid="{00000000-0005-0000-0000-0000A01A0000}"/>
    <cellStyle name="s_PFMA Cap_Pasta2" xfId="4364" xr:uid="{00000000-0005-0000-0000-0000A11A0000}"/>
    <cellStyle name="s_PFMA Credit" xfId="4365" xr:uid="{00000000-0005-0000-0000-0000A21A0000}"/>
    <cellStyle name="s_PFMA Credit (2)" xfId="4366" xr:uid="{00000000-0005-0000-0000-0000A31A0000}"/>
    <cellStyle name="s_PFMA Credit (2)_1" xfId="4367" xr:uid="{00000000-0005-0000-0000-0000A41A0000}"/>
    <cellStyle name="s_PFMA Credit (2)_1_Comparativo VP FIN v1_So 2008" xfId="8453" xr:uid="{00000000-0005-0000-0000-0000A51A0000}"/>
    <cellStyle name="s_PFMA Credit (2)_1_Comparativo VP MKT 2008 v1_So 2008" xfId="8454" xr:uid="{00000000-0005-0000-0000-0000A61A0000}"/>
    <cellStyle name="s_PFMA Credit (2)_1_Comparativo VP TEC 2008 v1_So 2008" xfId="8455" xr:uid="{00000000-0005-0000-0000-0000A71A0000}"/>
    <cellStyle name="s_PFMA Credit (2)_1_Comparativo VP TEC 2008_Luiz Sergio" xfId="8456" xr:uid="{00000000-0005-0000-0000-0000A81A0000}"/>
    <cellStyle name="s_PFMA Credit (2)_1_Cópia de Modelo - Fluxo de Caixa Orcamento 09052009_V36_3" xfId="4368" xr:uid="{00000000-0005-0000-0000-0000A91A0000}"/>
    <cellStyle name="s_PFMA Credit (2)_1_Fluxo de Caixa Orcamento FINAL_13052009" xfId="4369" xr:uid="{00000000-0005-0000-0000-0000AA1A0000}"/>
    <cellStyle name="s_PFMA Credit (2)_1_FM_dummyV4" xfId="4370" xr:uid="{00000000-0005-0000-0000-0000AB1A0000}"/>
    <cellStyle name="s_PFMA Credit (2)_1_lalur" xfId="4371" xr:uid="{00000000-0005-0000-0000-0000AC1A0000}"/>
    <cellStyle name="s_PFMA Credit (2)_1_Leasing_V3" xfId="4372" xr:uid="{00000000-0005-0000-0000-0000AD1A0000}"/>
    <cellStyle name="s_PFMA Credit (2)_1_MODELO PDP III" xfId="4373" xr:uid="{00000000-0005-0000-0000-0000AE1A0000}"/>
    <cellStyle name="s_PFMA Credit (2)_1_ORÇ_2009" xfId="4374" xr:uid="{00000000-0005-0000-0000-0000AF1A0000}"/>
    <cellStyle name="s_PFMA Credit (2)_1_Pasta2" xfId="4375" xr:uid="{00000000-0005-0000-0000-0000B01A0000}"/>
    <cellStyle name="s_PFMA Credit (2)_Comparativo VP FIN v1_So 2008" xfId="8457" xr:uid="{00000000-0005-0000-0000-0000B11A0000}"/>
    <cellStyle name="s_PFMA Credit (2)_Comparativo VP MKT 2008 v1_So 2008" xfId="8458" xr:uid="{00000000-0005-0000-0000-0000B21A0000}"/>
    <cellStyle name="s_PFMA Credit (2)_Comparativo VP TEC 2008 v1_So 2008" xfId="8459" xr:uid="{00000000-0005-0000-0000-0000B31A0000}"/>
    <cellStyle name="s_PFMA Credit (2)_Comparativo VP TEC 2008_Luiz Sergio" xfId="8460" xr:uid="{00000000-0005-0000-0000-0000B41A0000}"/>
    <cellStyle name="s_PFMA Credit (2)_Cópia de Modelo - Fluxo de Caixa Orcamento 09052009_V36_3" xfId="4376" xr:uid="{00000000-0005-0000-0000-0000B51A0000}"/>
    <cellStyle name="s_PFMA Credit (2)_Fluxo de Caixa Orcamento FINAL_13052009" xfId="4377" xr:uid="{00000000-0005-0000-0000-0000B61A0000}"/>
    <cellStyle name="s_PFMA Credit (2)_FM_dummyV4" xfId="4378" xr:uid="{00000000-0005-0000-0000-0000B71A0000}"/>
    <cellStyle name="s_PFMA Credit (2)_lalur" xfId="4379" xr:uid="{00000000-0005-0000-0000-0000B81A0000}"/>
    <cellStyle name="s_PFMA Credit (2)_Leasing_V3" xfId="4380" xr:uid="{00000000-0005-0000-0000-0000B91A0000}"/>
    <cellStyle name="s_PFMA Credit (2)_MODELO PDP III" xfId="4381" xr:uid="{00000000-0005-0000-0000-0000BA1A0000}"/>
    <cellStyle name="s_PFMA Credit (2)_ORÇ_2009" xfId="4382" xr:uid="{00000000-0005-0000-0000-0000BB1A0000}"/>
    <cellStyle name="s_PFMA Credit (2)_Pasta2" xfId="4383" xr:uid="{00000000-0005-0000-0000-0000BC1A0000}"/>
    <cellStyle name="s_PFMA Credit (2)_PFMA Cap" xfId="4384" xr:uid="{00000000-0005-0000-0000-0000BD1A0000}"/>
    <cellStyle name="s_PFMA Credit (2)_PFMA Cap_Comparativo VP FIN v1_So 2008" xfId="8461" xr:uid="{00000000-0005-0000-0000-0000BE1A0000}"/>
    <cellStyle name="s_PFMA Credit (2)_PFMA Cap_Comparativo VP MKT 2008 v1_So 2008" xfId="8462" xr:uid="{00000000-0005-0000-0000-0000BF1A0000}"/>
    <cellStyle name="s_PFMA Credit (2)_PFMA Cap_Comparativo VP TEC 2008 v1_So 2008" xfId="8463" xr:uid="{00000000-0005-0000-0000-0000C01A0000}"/>
    <cellStyle name="s_PFMA Credit (2)_PFMA Cap_Comparativo VP TEC 2008_Luiz Sergio" xfId="8464" xr:uid="{00000000-0005-0000-0000-0000C11A0000}"/>
    <cellStyle name="s_PFMA Credit (2)_PFMA Cap_Cópia de Modelo - Fluxo de Caixa Orcamento 09052009_V36_3" xfId="4385" xr:uid="{00000000-0005-0000-0000-0000C21A0000}"/>
    <cellStyle name="s_PFMA Credit (2)_PFMA Cap_Fluxo de Caixa Orcamento FINAL_13052009" xfId="4386" xr:uid="{00000000-0005-0000-0000-0000C31A0000}"/>
    <cellStyle name="s_PFMA Credit (2)_PFMA Cap_FM_dummyV4" xfId="4387" xr:uid="{00000000-0005-0000-0000-0000C41A0000}"/>
    <cellStyle name="s_PFMA Credit (2)_PFMA Cap_lalur" xfId="4388" xr:uid="{00000000-0005-0000-0000-0000C51A0000}"/>
    <cellStyle name="s_PFMA Credit (2)_PFMA Cap_Leasing_V3" xfId="4389" xr:uid="{00000000-0005-0000-0000-0000C61A0000}"/>
    <cellStyle name="s_PFMA Credit (2)_PFMA Cap_MODELO PDP III" xfId="4390" xr:uid="{00000000-0005-0000-0000-0000C71A0000}"/>
    <cellStyle name="s_PFMA Credit (2)_PFMA Cap_ORÇ_2009" xfId="4391" xr:uid="{00000000-0005-0000-0000-0000C81A0000}"/>
    <cellStyle name="s_PFMA Credit (2)_PFMA Cap_Pasta2" xfId="4392" xr:uid="{00000000-0005-0000-0000-0000C91A0000}"/>
    <cellStyle name="s_PFMA Credit_1" xfId="4393" xr:uid="{00000000-0005-0000-0000-0000CA1A0000}"/>
    <cellStyle name="s_PFMA Credit_1_Comparativo VP FIN v1_So 2008" xfId="8465" xr:uid="{00000000-0005-0000-0000-0000CB1A0000}"/>
    <cellStyle name="s_PFMA Credit_1_Comparativo VP MKT 2008 v1_So 2008" xfId="8466" xr:uid="{00000000-0005-0000-0000-0000CC1A0000}"/>
    <cellStyle name="s_PFMA Credit_1_Comparativo VP TEC 2008 v1_So 2008" xfId="8467" xr:uid="{00000000-0005-0000-0000-0000CD1A0000}"/>
    <cellStyle name="s_PFMA Credit_1_Comparativo VP TEC 2008_Luiz Sergio" xfId="8468" xr:uid="{00000000-0005-0000-0000-0000CE1A0000}"/>
    <cellStyle name="s_PFMA Credit_1_Cópia de Modelo - Fluxo de Caixa Orcamento 09052009_V36_3" xfId="4394" xr:uid="{00000000-0005-0000-0000-0000CF1A0000}"/>
    <cellStyle name="s_PFMA Credit_1_Fluxo de Caixa Orcamento FINAL_13052009" xfId="4395" xr:uid="{00000000-0005-0000-0000-0000D01A0000}"/>
    <cellStyle name="s_PFMA Credit_1_FM_dummyV4" xfId="4396" xr:uid="{00000000-0005-0000-0000-0000D11A0000}"/>
    <cellStyle name="s_PFMA Credit_1_lalur" xfId="4397" xr:uid="{00000000-0005-0000-0000-0000D21A0000}"/>
    <cellStyle name="s_PFMA Credit_1_Leasing_V3" xfId="4398" xr:uid="{00000000-0005-0000-0000-0000D31A0000}"/>
    <cellStyle name="s_PFMA Credit_1_MODELO PDP III" xfId="4399" xr:uid="{00000000-0005-0000-0000-0000D41A0000}"/>
    <cellStyle name="s_PFMA Credit_1_ORÇ_2009" xfId="4400" xr:uid="{00000000-0005-0000-0000-0000D51A0000}"/>
    <cellStyle name="s_PFMA Credit_1_Pasta2" xfId="4401" xr:uid="{00000000-0005-0000-0000-0000D61A0000}"/>
    <cellStyle name="s_PFMA Credit_2" xfId="4402" xr:uid="{00000000-0005-0000-0000-0000D71A0000}"/>
    <cellStyle name="s_PFMA Credit_2_Comparativo VP FIN v1_So 2008" xfId="8469" xr:uid="{00000000-0005-0000-0000-0000D81A0000}"/>
    <cellStyle name="s_PFMA Credit_2_Comparativo VP MKT 2008 v1_So 2008" xfId="8470" xr:uid="{00000000-0005-0000-0000-0000D91A0000}"/>
    <cellStyle name="s_PFMA Credit_2_Comparativo VP TEC 2008 v1_So 2008" xfId="8471" xr:uid="{00000000-0005-0000-0000-0000DA1A0000}"/>
    <cellStyle name="s_PFMA Credit_2_Comparativo VP TEC 2008_Luiz Sergio" xfId="8472" xr:uid="{00000000-0005-0000-0000-0000DB1A0000}"/>
    <cellStyle name="s_PFMA Credit_2_Cópia de Modelo - Fluxo de Caixa Orcamento 09052009_V36_3" xfId="4403" xr:uid="{00000000-0005-0000-0000-0000DC1A0000}"/>
    <cellStyle name="s_PFMA Credit_2_Fluxo de Caixa Orcamento FINAL_13052009" xfId="4404" xr:uid="{00000000-0005-0000-0000-0000DD1A0000}"/>
    <cellStyle name="s_PFMA Credit_2_FM_dummyV4" xfId="4405" xr:uid="{00000000-0005-0000-0000-0000DE1A0000}"/>
    <cellStyle name="s_PFMA Credit_2_lalur" xfId="4406" xr:uid="{00000000-0005-0000-0000-0000DF1A0000}"/>
    <cellStyle name="s_PFMA Credit_2_Leasing_V3" xfId="4407" xr:uid="{00000000-0005-0000-0000-0000E01A0000}"/>
    <cellStyle name="s_PFMA Credit_2_MODELO PDP III" xfId="4408" xr:uid="{00000000-0005-0000-0000-0000E11A0000}"/>
    <cellStyle name="s_PFMA Credit_2_ORÇ_2009" xfId="4409" xr:uid="{00000000-0005-0000-0000-0000E21A0000}"/>
    <cellStyle name="s_PFMA Credit_2_Pasta2" xfId="4410" xr:uid="{00000000-0005-0000-0000-0000E31A0000}"/>
    <cellStyle name="s_PFMA Credit_Comparativo VP FIN v1_So 2008" xfId="8473" xr:uid="{00000000-0005-0000-0000-0000E41A0000}"/>
    <cellStyle name="s_PFMA Credit_Comparativo VP MKT 2008 v1_So 2008" xfId="8474" xr:uid="{00000000-0005-0000-0000-0000E51A0000}"/>
    <cellStyle name="s_PFMA Credit_Comparativo VP TEC 2008 v1_So 2008" xfId="8475" xr:uid="{00000000-0005-0000-0000-0000E61A0000}"/>
    <cellStyle name="s_PFMA Credit_Comparativo VP TEC 2008_Luiz Sergio" xfId="8476" xr:uid="{00000000-0005-0000-0000-0000E71A0000}"/>
    <cellStyle name="s_PFMA Credit_Cópia de Modelo - Fluxo de Caixa Orcamento 09052009_V36_3" xfId="4411" xr:uid="{00000000-0005-0000-0000-0000E81A0000}"/>
    <cellStyle name="s_PFMA Credit_Fluxo de Caixa Orcamento FINAL_13052009" xfId="4412" xr:uid="{00000000-0005-0000-0000-0000E91A0000}"/>
    <cellStyle name="s_PFMA Credit_FM_dummyV4" xfId="4413" xr:uid="{00000000-0005-0000-0000-0000EA1A0000}"/>
    <cellStyle name="s_PFMA Credit_lalur" xfId="4414" xr:uid="{00000000-0005-0000-0000-0000EB1A0000}"/>
    <cellStyle name="s_PFMA Credit_Leasing_V3" xfId="4415" xr:uid="{00000000-0005-0000-0000-0000EC1A0000}"/>
    <cellStyle name="s_PFMA Credit_MODELO PDP III" xfId="4416" xr:uid="{00000000-0005-0000-0000-0000ED1A0000}"/>
    <cellStyle name="s_PFMA Credit_ORÇ_2009" xfId="4417" xr:uid="{00000000-0005-0000-0000-0000EE1A0000}"/>
    <cellStyle name="s_PFMA Credit_Pasta2" xfId="4418" xr:uid="{00000000-0005-0000-0000-0000EF1A0000}"/>
    <cellStyle name="s_PFMA Fin Sum" xfId="4419" xr:uid="{00000000-0005-0000-0000-0000F01A0000}"/>
    <cellStyle name="s_PFMA Fin Sum_1" xfId="4420" xr:uid="{00000000-0005-0000-0000-0000F11A0000}"/>
    <cellStyle name="s_PFMA Fin Sum_1_Comparativo VP FIN v1_So 2008" xfId="8477" xr:uid="{00000000-0005-0000-0000-0000F21A0000}"/>
    <cellStyle name="s_PFMA Fin Sum_1_Comparativo VP MKT 2008 v1_So 2008" xfId="8478" xr:uid="{00000000-0005-0000-0000-0000F31A0000}"/>
    <cellStyle name="s_PFMA Fin Sum_1_Comparativo VP TEC 2008 v1_So 2008" xfId="8479" xr:uid="{00000000-0005-0000-0000-0000F41A0000}"/>
    <cellStyle name="s_PFMA Fin Sum_1_Comparativo VP TEC 2008_Luiz Sergio" xfId="8480" xr:uid="{00000000-0005-0000-0000-0000F51A0000}"/>
    <cellStyle name="s_PFMA Fin Sum_1_Cópia de Modelo - Fluxo de Caixa Orcamento 09052009_V36_3" xfId="4421" xr:uid="{00000000-0005-0000-0000-0000F61A0000}"/>
    <cellStyle name="s_PFMA Fin Sum_1_Fluxo de Caixa Orcamento FINAL_13052009" xfId="4422" xr:uid="{00000000-0005-0000-0000-0000F71A0000}"/>
    <cellStyle name="s_PFMA Fin Sum_1_FM_dummyV4" xfId="4423" xr:uid="{00000000-0005-0000-0000-0000F81A0000}"/>
    <cellStyle name="s_PFMA Fin Sum_1_lalur" xfId="4424" xr:uid="{00000000-0005-0000-0000-0000F91A0000}"/>
    <cellStyle name="s_PFMA Fin Sum_1_Leasing_V3" xfId="4425" xr:uid="{00000000-0005-0000-0000-0000FA1A0000}"/>
    <cellStyle name="s_PFMA Fin Sum_1_MODELO PDP III" xfId="4426" xr:uid="{00000000-0005-0000-0000-0000FB1A0000}"/>
    <cellStyle name="s_PFMA Fin Sum_1_ORÇ_2009" xfId="4427" xr:uid="{00000000-0005-0000-0000-0000FC1A0000}"/>
    <cellStyle name="s_PFMA Fin Sum_1_Pasta2" xfId="4428" xr:uid="{00000000-0005-0000-0000-0000FD1A0000}"/>
    <cellStyle name="s_PFMA Fin Sum_2" xfId="4429" xr:uid="{00000000-0005-0000-0000-0000FE1A0000}"/>
    <cellStyle name="s_PFMA Fin Sum_2_Comparativo VP FIN v1_So 2008" xfId="8481" xr:uid="{00000000-0005-0000-0000-0000FF1A0000}"/>
    <cellStyle name="s_PFMA Fin Sum_2_Comparativo VP MKT 2008 v1_So 2008" xfId="8482" xr:uid="{00000000-0005-0000-0000-0000001B0000}"/>
    <cellStyle name="s_PFMA Fin Sum_2_Comparativo VP TEC 2008 v1_So 2008" xfId="8483" xr:uid="{00000000-0005-0000-0000-0000011B0000}"/>
    <cellStyle name="s_PFMA Fin Sum_2_Comparativo VP TEC 2008_Luiz Sergio" xfId="8484" xr:uid="{00000000-0005-0000-0000-0000021B0000}"/>
    <cellStyle name="s_PFMA Fin Sum_2_Cópia de Modelo - Fluxo de Caixa Orcamento 09052009_V36_3" xfId="4430" xr:uid="{00000000-0005-0000-0000-0000031B0000}"/>
    <cellStyle name="s_PFMA Fin Sum_2_Fluxo de Caixa Orcamento FINAL_13052009" xfId="4431" xr:uid="{00000000-0005-0000-0000-0000041B0000}"/>
    <cellStyle name="s_PFMA Fin Sum_2_FM_dummyV4" xfId="4432" xr:uid="{00000000-0005-0000-0000-0000051B0000}"/>
    <cellStyle name="s_PFMA Fin Sum_2_lalur" xfId="4433" xr:uid="{00000000-0005-0000-0000-0000061B0000}"/>
    <cellStyle name="s_PFMA Fin Sum_2_Leasing_V3" xfId="4434" xr:uid="{00000000-0005-0000-0000-0000071B0000}"/>
    <cellStyle name="s_PFMA Fin Sum_2_MODELO PDP III" xfId="4435" xr:uid="{00000000-0005-0000-0000-0000081B0000}"/>
    <cellStyle name="s_PFMA Fin Sum_2_ORÇ_2009" xfId="4436" xr:uid="{00000000-0005-0000-0000-0000091B0000}"/>
    <cellStyle name="s_PFMA Fin Sum_2_Pasta2" xfId="4437" xr:uid="{00000000-0005-0000-0000-00000A1B0000}"/>
    <cellStyle name="s_PFMA Fin Sum_Comparativo VP FIN v1_So 2008" xfId="8485" xr:uid="{00000000-0005-0000-0000-00000B1B0000}"/>
    <cellStyle name="s_PFMA Fin Sum_Comparativo VP MKT 2008 v1_So 2008" xfId="8486" xr:uid="{00000000-0005-0000-0000-00000C1B0000}"/>
    <cellStyle name="s_PFMA Fin Sum_Comparativo VP TEC 2008 v1_So 2008" xfId="8487" xr:uid="{00000000-0005-0000-0000-00000D1B0000}"/>
    <cellStyle name="s_PFMA Fin Sum_Comparativo VP TEC 2008_Luiz Sergio" xfId="8488" xr:uid="{00000000-0005-0000-0000-00000E1B0000}"/>
    <cellStyle name="s_PFMA Fin Sum_Cópia de Modelo - Fluxo de Caixa Orcamento 09052009_V36_3" xfId="4438" xr:uid="{00000000-0005-0000-0000-00000F1B0000}"/>
    <cellStyle name="s_PFMA Fin Sum_Fluxo de Caixa Orcamento FINAL_13052009" xfId="4439" xr:uid="{00000000-0005-0000-0000-0000101B0000}"/>
    <cellStyle name="s_PFMA Fin Sum_FM_dummyV4" xfId="4440" xr:uid="{00000000-0005-0000-0000-0000111B0000}"/>
    <cellStyle name="s_PFMA Fin Sum_lalur" xfId="4441" xr:uid="{00000000-0005-0000-0000-0000121B0000}"/>
    <cellStyle name="s_PFMA Fin Sum_Leasing_V3" xfId="4442" xr:uid="{00000000-0005-0000-0000-0000131B0000}"/>
    <cellStyle name="s_PFMA Fin Sum_MODELO PDP III" xfId="4443" xr:uid="{00000000-0005-0000-0000-0000141B0000}"/>
    <cellStyle name="s_PFMA Fin Sum_ORÇ_2009" xfId="4444" xr:uid="{00000000-0005-0000-0000-0000151B0000}"/>
    <cellStyle name="s_PFMA Fin Sum_Pasta2" xfId="4445" xr:uid="{00000000-0005-0000-0000-0000161B0000}"/>
    <cellStyle name="s_PFMA Income (2)" xfId="4446" xr:uid="{00000000-0005-0000-0000-0000171B0000}"/>
    <cellStyle name="s_PFMA Income (2)_1" xfId="4447" xr:uid="{00000000-0005-0000-0000-0000181B0000}"/>
    <cellStyle name="s_PFMA Income (2)_1_Comparativo VP FIN v1_So 2008" xfId="8489" xr:uid="{00000000-0005-0000-0000-0000191B0000}"/>
    <cellStyle name="s_PFMA Income (2)_1_Comparativo VP MKT 2008 v1_So 2008" xfId="8490" xr:uid="{00000000-0005-0000-0000-00001A1B0000}"/>
    <cellStyle name="s_PFMA Income (2)_1_Comparativo VP TEC 2008 v1_So 2008" xfId="8491" xr:uid="{00000000-0005-0000-0000-00001B1B0000}"/>
    <cellStyle name="s_PFMA Income (2)_1_Comparativo VP TEC 2008_Luiz Sergio" xfId="8492" xr:uid="{00000000-0005-0000-0000-00001C1B0000}"/>
    <cellStyle name="s_PFMA Income (2)_1_Cópia de Modelo - Fluxo de Caixa Orcamento 09052009_V36_3" xfId="4448" xr:uid="{00000000-0005-0000-0000-00001D1B0000}"/>
    <cellStyle name="s_PFMA Income (2)_1_Fluxo de Caixa Orcamento FINAL_13052009" xfId="4449" xr:uid="{00000000-0005-0000-0000-00001E1B0000}"/>
    <cellStyle name="s_PFMA Income (2)_1_FM_dummyV4" xfId="4450" xr:uid="{00000000-0005-0000-0000-00001F1B0000}"/>
    <cellStyle name="s_PFMA Income (2)_1_lalur" xfId="4451" xr:uid="{00000000-0005-0000-0000-0000201B0000}"/>
    <cellStyle name="s_PFMA Income (2)_1_Leasing_V3" xfId="4452" xr:uid="{00000000-0005-0000-0000-0000211B0000}"/>
    <cellStyle name="s_PFMA Income (2)_1_MODELO PDP III" xfId="4453" xr:uid="{00000000-0005-0000-0000-0000221B0000}"/>
    <cellStyle name="s_PFMA Income (2)_1_ORÇ_2009" xfId="4454" xr:uid="{00000000-0005-0000-0000-0000231B0000}"/>
    <cellStyle name="s_PFMA Income (2)_1_Pasta2" xfId="4455" xr:uid="{00000000-0005-0000-0000-0000241B0000}"/>
    <cellStyle name="s_PFMA Income (2)_2" xfId="4456" xr:uid="{00000000-0005-0000-0000-0000251B0000}"/>
    <cellStyle name="s_PFMA Income (2)_2_Celtic DCF" xfId="4457" xr:uid="{00000000-0005-0000-0000-0000261B0000}"/>
    <cellStyle name="s_PFMA Income (2)_2_Celtic DCF Inputs" xfId="4458" xr:uid="{00000000-0005-0000-0000-0000271B0000}"/>
    <cellStyle name="s_PFMA Income (2)_2_Celtic DCF Inputs_Comparativo VP FIN v1_So 2008" xfId="8493" xr:uid="{00000000-0005-0000-0000-0000281B0000}"/>
    <cellStyle name="s_PFMA Income (2)_2_Celtic DCF Inputs_Comparativo VP MKT 2008 v1_So 2008" xfId="8494" xr:uid="{00000000-0005-0000-0000-0000291B0000}"/>
    <cellStyle name="s_PFMA Income (2)_2_Celtic DCF Inputs_Comparativo VP TEC 2008 v1_So 2008" xfId="8495" xr:uid="{00000000-0005-0000-0000-00002A1B0000}"/>
    <cellStyle name="s_PFMA Income (2)_2_Celtic DCF Inputs_Comparativo VP TEC 2008_Luiz Sergio" xfId="8496" xr:uid="{00000000-0005-0000-0000-00002B1B0000}"/>
    <cellStyle name="s_PFMA Income (2)_2_Celtic DCF Inputs_Cópia de Modelo - Fluxo de Caixa Orcamento 09052009_V36_3" xfId="4459" xr:uid="{00000000-0005-0000-0000-00002C1B0000}"/>
    <cellStyle name="s_PFMA Income (2)_2_Celtic DCF Inputs_Fluxo de Caixa Orcamento FINAL_13052009" xfId="4460" xr:uid="{00000000-0005-0000-0000-00002D1B0000}"/>
    <cellStyle name="s_PFMA Income (2)_2_Celtic DCF Inputs_FM_dummyV4" xfId="4461" xr:uid="{00000000-0005-0000-0000-00002E1B0000}"/>
    <cellStyle name="s_PFMA Income (2)_2_Celtic DCF Inputs_lalur" xfId="4462" xr:uid="{00000000-0005-0000-0000-00002F1B0000}"/>
    <cellStyle name="s_PFMA Income (2)_2_Celtic DCF Inputs_Leasing_V3" xfId="4463" xr:uid="{00000000-0005-0000-0000-0000301B0000}"/>
    <cellStyle name="s_PFMA Income (2)_2_Celtic DCF Inputs_MODELO PDP III" xfId="4464" xr:uid="{00000000-0005-0000-0000-0000311B0000}"/>
    <cellStyle name="s_PFMA Income (2)_2_Celtic DCF Inputs_ORÇ_2009" xfId="4465" xr:uid="{00000000-0005-0000-0000-0000321B0000}"/>
    <cellStyle name="s_PFMA Income (2)_2_Celtic DCF Inputs_Pasta2" xfId="4466" xr:uid="{00000000-0005-0000-0000-0000331B0000}"/>
    <cellStyle name="s_PFMA Income (2)_2_Celtic DCF_Comparativo VP FIN v1_So 2008" xfId="8497" xr:uid="{00000000-0005-0000-0000-0000341B0000}"/>
    <cellStyle name="s_PFMA Income (2)_2_Celtic DCF_Comparativo VP MKT 2008 v1_So 2008" xfId="8498" xr:uid="{00000000-0005-0000-0000-0000351B0000}"/>
    <cellStyle name="s_PFMA Income (2)_2_Celtic DCF_Comparativo VP TEC 2008 v1_So 2008" xfId="8499" xr:uid="{00000000-0005-0000-0000-0000361B0000}"/>
    <cellStyle name="s_PFMA Income (2)_2_Celtic DCF_Comparativo VP TEC 2008_Luiz Sergio" xfId="8500" xr:uid="{00000000-0005-0000-0000-0000371B0000}"/>
    <cellStyle name="s_PFMA Income (2)_2_Celtic DCF_Cópia de Modelo - Fluxo de Caixa Orcamento 09052009_V36_3" xfId="4467" xr:uid="{00000000-0005-0000-0000-0000381B0000}"/>
    <cellStyle name="s_PFMA Income (2)_2_Celtic DCF_Fluxo de Caixa Orcamento FINAL_13052009" xfId="4468" xr:uid="{00000000-0005-0000-0000-0000391B0000}"/>
    <cellStyle name="s_PFMA Income (2)_2_Celtic DCF_FM_dummyV4" xfId="4469" xr:uid="{00000000-0005-0000-0000-00003A1B0000}"/>
    <cellStyle name="s_PFMA Income (2)_2_Celtic DCF_lalur" xfId="4470" xr:uid="{00000000-0005-0000-0000-00003B1B0000}"/>
    <cellStyle name="s_PFMA Income (2)_2_Celtic DCF_Leasing_V3" xfId="4471" xr:uid="{00000000-0005-0000-0000-00003C1B0000}"/>
    <cellStyle name="s_PFMA Income (2)_2_Celtic DCF_MODELO PDP III" xfId="4472" xr:uid="{00000000-0005-0000-0000-00003D1B0000}"/>
    <cellStyle name="s_PFMA Income (2)_2_Celtic DCF_ORÇ_2009" xfId="4473" xr:uid="{00000000-0005-0000-0000-00003E1B0000}"/>
    <cellStyle name="s_PFMA Income (2)_2_Celtic DCF_Pasta2" xfId="4474" xr:uid="{00000000-0005-0000-0000-00003F1B0000}"/>
    <cellStyle name="s_PFMA Income (2)_2_Comparativo VP FIN v1_So 2008" xfId="8501" xr:uid="{00000000-0005-0000-0000-0000401B0000}"/>
    <cellStyle name="s_PFMA Income (2)_2_Comparativo VP MKT 2008 v1_So 2008" xfId="8502" xr:uid="{00000000-0005-0000-0000-0000411B0000}"/>
    <cellStyle name="s_PFMA Income (2)_2_Comparativo VP TEC 2008 v1_So 2008" xfId="8503" xr:uid="{00000000-0005-0000-0000-0000421B0000}"/>
    <cellStyle name="s_PFMA Income (2)_2_Comparativo VP TEC 2008_Luiz Sergio" xfId="8504" xr:uid="{00000000-0005-0000-0000-0000431B0000}"/>
    <cellStyle name="s_PFMA Income (2)_2_Cópia de Modelo - Fluxo de Caixa Orcamento 09052009_V36_3" xfId="4475" xr:uid="{00000000-0005-0000-0000-0000441B0000}"/>
    <cellStyle name="s_PFMA Income (2)_2_Fluxo de Caixa Orcamento FINAL_13052009" xfId="4476" xr:uid="{00000000-0005-0000-0000-0000451B0000}"/>
    <cellStyle name="s_PFMA Income (2)_2_FM_dummyV4" xfId="4477" xr:uid="{00000000-0005-0000-0000-0000461B0000}"/>
    <cellStyle name="s_PFMA Income (2)_2_lalur" xfId="4478" xr:uid="{00000000-0005-0000-0000-0000471B0000}"/>
    <cellStyle name="s_PFMA Income (2)_2_Leasing_V3" xfId="4479" xr:uid="{00000000-0005-0000-0000-0000481B0000}"/>
    <cellStyle name="s_PFMA Income (2)_2_MODELO PDP III" xfId="4480" xr:uid="{00000000-0005-0000-0000-0000491B0000}"/>
    <cellStyle name="s_PFMA Income (2)_2_ORÇ_2009" xfId="4481" xr:uid="{00000000-0005-0000-0000-00004A1B0000}"/>
    <cellStyle name="s_PFMA Income (2)_2_Pasta2" xfId="4482" xr:uid="{00000000-0005-0000-0000-00004B1B0000}"/>
    <cellStyle name="s_PFMA Income (2)_2_Valuation Summary" xfId="4483" xr:uid="{00000000-0005-0000-0000-00004C1B0000}"/>
    <cellStyle name="s_PFMA Income (2)_2_Valuation Summary_Comparativo VP FIN v1_So 2008" xfId="8505" xr:uid="{00000000-0005-0000-0000-00004D1B0000}"/>
    <cellStyle name="s_PFMA Income (2)_2_Valuation Summary_Comparativo VP MKT 2008 v1_So 2008" xfId="8506" xr:uid="{00000000-0005-0000-0000-00004E1B0000}"/>
    <cellStyle name="s_PFMA Income (2)_2_Valuation Summary_Comparativo VP TEC 2008 v1_So 2008" xfId="8507" xr:uid="{00000000-0005-0000-0000-00004F1B0000}"/>
    <cellStyle name="s_PFMA Income (2)_2_Valuation Summary_Comparativo VP TEC 2008_Luiz Sergio" xfId="8508" xr:uid="{00000000-0005-0000-0000-0000501B0000}"/>
    <cellStyle name="s_PFMA Income (2)_2_Valuation Summary_Cópia de Modelo - Fluxo de Caixa Orcamento 09052009_V36_3" xfId="4484" xr:uid="{00000000-0005-0000-0000-0000511B0000}"/>
    <cellStyle name="s_PFMA Income (2)_2_Valuation Summary_Fluxo de Caixa Orcamento FINAL_13052009" xfId="4485" xr:uid="{00000000-0005-0000-0000-0000521B0000}"/>
    <cellStyle name="s_PFMA Income (2)_2_Valuation Summary_FM_dummyV4" xfId="4486" xr:uid="{00000000-0005-0000-0000-0000531B0000}"/>
    <cellStyle name="s_PFMA Income (2)_2_Valuation Summary_lalur" xfId="4487" xr:uid="{00000000-0005-0000-0000-0000541B0000}"/>
    <cellStyle name="s_PFMA Income (2)_2_Valuation Summary_Leasing_V3" xfId="4488" xr:uid="{00000000-0005-0000-0000-0000551B0000}"/>
    <cellStyle name="s_PFMA Income (2)_2_Valuation Summary_MODELO PDP III" xfId="4489" xr:uid="{00000000-0005-0000-0000-0000561B0000}"/>
    <cellStyle name="s_PFMA Income (2)_2_Valuation Summary_ORÇ_2009" xfId="4490" xr:uid="{00000000-0005-0000-0000-0000571B0000}"/>
    <cellStyle name="s_PFMA Income (2)_2_Valuation Summary_Pasta2" xfId="4491" xr:uid="{00000000-0005-0000-0000-0000581B0000}"/>
    <cellStyle name="s_PFMA Income (2)_Comparativo VP FIN v1_So 2008" xfId="8509" xr:uid="{00000000-0005-0000-0000-0000591B0000}"/>
    <cellStyle name="s_PFMA Income (2)_Comparativo VP MKT 2008 v1_So 2008" xfId="8510" xr:uid="{00000000-0005-0000-0000-00005A1B0000}"/>
    <cellStyle name="s_PFMA Income (2)_Comparativo VP TEC 2008 v1_So 2008" xfId="8511" xr:uid="{00000000-0005-0000-0000-00005B1B0000}"/>
    <cellStyle name="s_PFMA Income (2)_Comparativo VP TEC 2008_Luiz Sergio" xfId="8512" xr:uid="{00000000-0005-0000-0000-00005C1B0000}"/>
    <cellStyle name="s_PFMA Income (2)_Cópia de Modelo - Fluxo de Caixa Orcamento 09052009_V36_3" xfId="4492" xr:uid="{00000000-0005-0000-0000-00005D1B0000}"/>
    <cellStyle name="s_PFMA Income (2)_Fluxo de Caixa Orcamento FINAL_13052009" xfId="4493" xr:uid="{00000000-0005-0000-0000-00005E1B0000}"/>
    <cellStyle name="s_PFMA Income (2)_FM_dummyV4" xfId="4494" xr:uid="{00000000-0005-0000-0000-00005F1B0000}"/>
    <cellStyle name="s_PFMA Income (2)_lalur" xfId="4495" xr:uid="{00000000-0005-0000-0000-0000601B0000}"/>
    <cellStyle name="s_PFMA Income (2)_Leasing_V3" xfId="4496" xr:uid="{00000000-0005-0000-0000-0000611B0000}"/>
    <cellStyle name="s_PFMA Income (2)_MODELO PDP III" xfId="4497" xr:uid="{00000000-0005-0000-0000-0000621B0000}"/>
    <cellStyle name="s_PFMA Income (2)_ORÇ_2009" xfId="4498" xr:uid="{00000000-0005-0000-0000-0000631B0000}"/>
    <cellStyle name="s_PFMA Income (2)_Pasta2" xfId="4499" xr:uid="{00000000-0005-0000-0000-0000641B0000}"/>
    <cellStyle name="s_PFMA Statements" xfId="4500" xr:uid="{00000000-0005-0000-0000-0000651B0000}"/>
    <cellStyle name="s_PFMA Statements_1" xfId="4501" xr:uid="{00000000-0005-0000-0000-0000661B0000}"/>
    <cellStyle name="s_PFMA Statements_1_Comparativo VP FIN v1_So 2008" xfId="8513" xr:uid="{00000000-0005-0000-0000-0000671B0000}"/>
    <cellStyle name="s_PFMA Statements_1_Comparativo VP MKT 2008 v1_So 2008" xfId="8514" xr:uid="{00000000-0005-0000-0000-0000681B0000}"/>
    <cellStyle name="s_PFMA Statements_1_Comparativo VP TEC 2008 v1_So 2008" xfId="8515" xr:uid="{00000000-0005-0000-0000-0000691B0000}"/>
    <cellStyle name="s_PFMA Statements_1_Comparativo VP TEC 2008_Luiz Sergio" xfId="8516" xr:uid="{00000000-0005-0000-0000-00006A1B0000}"/>
    <cellStyle name="s_PFMA Statements_1_Cópia de Modelo - Fluxo de Caixa Orcamento 09052009_V36_3" xfId="4502" xr:uid="{00000000-0005-0000-0000-00006B1B0000}"/>
    <cellStyle name="s_PFMA Statements_1_Fluxo de Caixa Orcamento FINAL_13052009" xfId="4503" xr:uid="{00000000-0005-0000-0000-00006C1B0000}"/>
    <cellStyle name="s_PFMA Statements_1_FM_dummyV4" xfId="4504" xr:uid="{00000000-0005-0000-0000-00006D1B0000}"/>
    <cellStyle name="s_PFMA Statements_1_lalur" xfId="4505" xr:uid="{00000000-0005-0000-0000-00006E1B0000}"/>
    <cellStyle name="s_PFMA Statements_1_Leasing_V3" xfId="4506" xr:uid="{00000000-0005-0000-0000-00006F1B0000}"/>
    <cellStyle name="s_PFMA Statements_1_MODELO PDP III" xfId="4507" xr:uid="{00000000-0005-0000-0000-0000701B0000}"/>
    <cellStyle name="s_PFMA Statements_1_ORÇ_2009" xfId="4508" xr:uid="{00000000-0005-0000-0000-0000711B0000}"/>
    <cellStyle name="s_PFMA Statements_1_Pasta2" xfId="4509" xr:uid="{00000000-0005-0000-0000-0000721B0000}"/>
    <cellStyle name="s_PFMA Statements_2" xfId="4510" xr:uid="{00000000-0005-0000-0000-0000731B0000}"/>
    <cellStyle name="s_PFMA Statements_2_Comparativo VP FIN v1_So 2008" xfId="8517" xr:uid="{00000000-0005-0000-0000-0000741B0000}"/>
    <cellStyle name="s_PFMA Statements_2_Comparativo VP MKT 2008 v1_So 2008" xfId="8518" xr:uid="{00000000-0005-0000-0000-0000751B0000}"/>
    <cellStyle name="s_PFMA Statements_2_Comparativo VP TEC 2008 v1_So 2008" xfId="8519" xr:uid="{00000000-0005-0000-0000-0000761B0000}"/>
    <cellStyle name="s_PFMA Statements_2_Comparativo VP TEC 2008_Luiz Sergio" xfId="8520" xr:uid="{00000000-0005-0000-0000-0000771B0000}"/>
    <cellStyle name="s_PFMA Statements_2_Cópia de Modelo - Fluxo de Caixa Orcamento 09052009_V36_3" xfId="4511" xr:uid="{00000000-0005-0000-0000-0000781B0000}"/>
    <cellStyle name="s_PFMA Statements_2_Fluxo de Caixa Orcamento FINAL_13052009" xfId="4512" xr:uid="{00000000-0005-0000-0000-0000791B0000}"/>
    <cellStyle name="s_PFMA Statements_2_FM_dummyV4" xfId="4513" xr:uid="{00000000-0005-0000-0000-00007A1B0000}"/>
    <cellStyle name="s_PFMA Statements_2_lalur" xfId="4514" xr:uid="{00000000-0005-0000-0000-00007B1B0000}"/>
    <cellStyle name="s_PFMA Statements_2_Leasing_V3" xfId="4515" xr:uid="{00000000-0005-0000-0000-00007C1B0000}"/>
    <cellStyle name="s_PFMA Statements_2_MODELO PDP III" xfId="4516" xr:uid="{00000000-0005-0000-0000-00007D1B0000}"/>
    <cellStyle name="s_PFMA Statements_2_ORÇ_2009" xfId="4517" xr:uid="{00000000-0005-0000-0000-00007E1B0000}"/>
    <cellStyle name="s_PFMA Statements_2_Pasta2" xfId="4518" xr:uid="{00000000-0005-0000-0000-00007F1B0000}"/>
    <cellStyle name="s_PFMA Statements_Comparativo VP FIN v1_So 2008" xfId="8521" xr:uid="{00000000-0005-0000-0000-0000801B0000}"/>
    <cellStyle name="s_PFMA Statements_Comparativo VP MKT 2008 v1_So 2008" xfId="8522" xr:uid="{00000000-0005-0000-0000-0000811B0000}"/>
    <cellStyle name="s_PFMA Statements_Comparativo VP TEC 2008 v1_So 2008" xfId="8523" xr:uid="{00000000-0005-0000-0000-0000821B0000}"/>
    <cellStyle name="s_PFMA Statements_Comparativo VP TEC 2008_Luiz Sergio" xfId="8524" xr:uid="{00000000-0005-0000-0000-0000831B0000}"/>
    <cellStyle name="s_PFMA Statements_Cópia de Modelo - Fluxo de Caixa Orcamento 09052009_V36_3" xfId="4519" xr:uid="{00000000-0005-0000-0000-0000841B0000}"/>
    <cellStyle name="s_PFMA Statements_Fluxo de Caixa Orcamento FINAL_13052009" xfId="4520" xr:uid="{00000000-0005-0000-0000-0000851B0000}"/>
    <cellStyle name="s_PFMA Statements_FM_dummyV4" xfId="4521" xr:uid="{00000000-0005-0000-0000-0000861B0000}"/>
    <cellStyle name="s_PFMA Statements_lalur" xfId="4522" xr:uid="{00000000-0005-0000-0000-0000871B0000}"/>
    <cellStyle name="s_PFMA Statements_Leasing_V3" xfId="4523" xr:uid="{00000000-0005-0000-0000-0000881B0000}"/>
    <cellStyle name="s_PFMA Statements_MODELO PDP III" xfId="4524" xr:uid="{00000000-0005-0000-0000-0000891B0000}"/>
    <cellStyle name="s_PFMA Statements_ORÇ_2009" xfId="4525" xr:uid="{00000000-0005-0000-0000-00008A1B0000}"/>
    <cellStyle name="s_PFMA Statements_Pasta2" xfId="4526" xr:uid="{00000000-0005-0000-0000-00008B1B0000}"/>
    <cellStyle name="s_Pippen (2)" xfId="4527" xr:uid="{00000000-0005-0000-0000-00008C1B0000}"/>
    <cellStyle name="s_Pippen (2)_1" xfId="4528" xr:uid="{00000000-0005-0000-0000-00008D1B0000}"/>
    <cellStyle name="s_Pippen (2)_1_Comparativo VP FIN v1_So 2008" xfId="8525" xr:uid="{00000000-0005-0000-0000-00008E1B0000}"/>
    <cellStyle name="s_Pippen (2)_1_Comparativo VP MKT 2008 v1_So 2008" xfId="8526" xr:uid="{00000000-0005-0000-0000-00008F1B0000}"/>
    <cellStyle name="s_Pippen (2)_1_Comparativo VP TEC 2008 v1_So 2008" xfId="8527" xr:uid="{00000000-0005-0000-0000-0000901B0000}"/>
    <cellStyle name="s_Pippen (2)_1_Comparativo VP TEC 2008_Luiz Sergio" xfId="8528" xr:uid="{00000000-0005-0000-0000-0000911B0000}"/>
    <cellStyle name="s_Pippen (2)_1_Cópia de Modelo - Fluxo de Caixa Orcamento 09052009_V36_3" xfId="4529" xr:uid="{00000000-0005-0000-0000-0000921B0000}"/>
    <cellStyle name="s_Pippen (2)_1_Fluxo de Caixa Orcamento FINAL_13052009" xfId="4530" xr:uid="{00000000-0005-0000-0000-0000931B0000}"/>
    <cellStyle name="s_Pippen (2)_1_FM_dummyV4" xfId="4531" xr:uid="{00000000-0005-0000-0000-0000941B0000}"/>
    <cellStyle name="s_Pippen (2)_1_lalur" xfId="4532" xr:uid="{00000000-0005-0000-0000-0000951B0000}"/>
    <cellStyle name="s_Pippen (2)_1_Leasing_V3" xfId="4533" xr:uid="{00000000-0005-0000-0000-0000961B0000}"/>
    <cellStyle name="s_Pippen (2)_1_MODELO PDP III" xfId="4534" xr:uid="{00000000-0005-0000-0000-0000971B0000}"/>
    <cellStyle name="s_Pippen (2)_1_ORÇ_2009" xfId="4535" xr:uid="{00000000-0005-0000-0000-0000981B0000}"/>
    <cellStyle name="s_Pippen (2)_1_Pasta2" xfId="4536" xr:uid="{00000000-0005-0000-0000-0000991B0000}"/>
    <cellStyle name="s_Pippen (2)_Comparativo VP FIN v1_So 2008" xfId="8529" xr:uid="{00000000-0005-0000-0000-00009A1B0000}"/>
    <cellStyle name="s_Pippen (2)_Comparativo VP MKT 2008 v1_So 2008" xfId="8530" xr:uid="{00000000-0005-0000-0000-00009B1B0000}"/>
    <cellStyle name="s_Pippen (2)_Comparativo VP TEC 2008 v1_So 2008" xfId="8531" xr:uid="{00000000-0005-0000-0000-00009C1B0000}"/>
    <cellStyle name="s_Pippen (2)_Comparativo VP TEC 2008_Luiz Sergio" xfId="8532" xr:uid="{00000000-0005-0000-0000-00009D1B0000}"/>
    <cellStyle name="s_Pippen (2)_Cópia de Modelo - Fluxo de Caixa Orcamento 09052009_V36_3" xfId="4537" xr:uid="{00000000-0005-0000-0000-00009E1B0000}"/>
    <cellStyle name="s_Pippen (2)_Fluxo de Caixa Orcamento FINAL_13052009" xfId="4538" xr:uid="{00000000-0005-0000-0000-00009F1B0000}"/>
    <cellStyle name="s_Pippen (2)_FM_dummyV4" xfId="4539" xr:uid="{00000000-0005-0000-0000-0000A01B0000}"/>
    <cellStyle name="s_Pippen (2)_lalur" xfId="4540" xr:uid="{00000000-0005-0000-0000-0000A11B0000}"/>
    <cellStyle name="s_Pippen (2)_Leasing_V3" xfId="4541" xr:uid="{00000000-0005-0000-0000-0000A21B0000}"/>
    <cellStyle name="s_Pippen (2)_MODELO PDP III" xfId="4542" xr:uid="{00000000-0005-0000-0000-0000A31B0000}"/>
    <cellStyle name="s_Pippen (2)_ORÇ_2009" xfId="4543" xr:uid="{00000000-0005-0000-0000-0000A41B0000}"/>
    <cellStyle name="s_Pippen (2)_Pasta2" xfId="4544" xr:uid="{00000000-0005-0000-0000-0000A51B0000}"/>
    <cellStyle name="s_Pippen Cases (2)" xfId="4545" xr:uid="{00000000-0005-0000-0000-0000A61B0000}"/>
    <cellStyle name="s_Pippen Cases (2)_1" xfId="4546" xr:uid="{00000000-0005-0000-0000-0000A71B0000}"/>
    <cellStyle name="s_Pippen Cases (2)_1_Comparativo VP FIN v1_So 2008" xfId="8533" xr:uid="{00000000-0005-0000-0000-0000A81B0000}"/>
    <cellStyle name="s_Pippen Cases (2)_1_Comparativo VP MKT 2008 v1_So 2008" xfId="8534" xr:uid="{00000000-0005-0000-0000-0000A91B0000}"/>
    <cellStyle name="s_Pippen Cases (2)_1_Comparativo VP TEC 2008 v1_So 2008" xfId="8535" xr:uid="{00000000-0005-0000-0000-0000AA1B0000}"/>
    <cellStyle name="s_Pippen Cases (2)_1_Comparativo VP TEC 2008_Luiz Sergio" xfId="8536" xr:uid="{00000000-0005-0000-0000-0000AB1B0000}"/>
    <cellStyle name="s_Pippen Cases (2)_1_Cópia de Modelo - Fluxo de Caixa Orcamento 09052009_V36_3" xfId="4547" xr:uid="{00000000-0005-0000-0000-0000AC1B0000}"/>
    <cellStyle name="s_Pippen Cases (2)_1_Fluxo de Caixa Orcamento FINAL_13052009" xfId="4548" xr:uid="{00000000-0005-0000-0000-0000AD1B0000}"/>
    <cellStyle name="s_Pippen Cases (2)_1_FM_dummyV4" xfId="4549" xr:uid="{00000000-0005-0000-0000-0000AE1B0000}"/>
    <cellStyle name="s_Pippen Cases (2)_1_lalur" xfId="4550" xr:uid="{00000000-0005-0000-0000-0000AF1B0000}"/>
    <cellStyle name="s_Pippen Cases (2)_1_Leasing_V3" xfId="4551" xr:uid="{00000000-0005-0000-0000-0000B01B0000}"/>
    <cellStyle name="s_Pippen Cases (2)_1_MODELO PDP III" xfId="4552" xr:uid="{00000000-0005-0000-0000-0000B11B0000}"/>
    <cellStyle name="s_Pippen Cases (2)_1_ORÇ_2009" xfId="4553" xr:uid="{00000000-0005-0000-0000-0000B21B0000}"/>
    <cellStyle name="s_Pippen Cases (2)_1_Pasta2" xfId="4554" xr:uid="{00000000-0005-0000-0000-0000B31B0000}"/>
    <cellStyle name="s_Pippen Cases (2)_Comparativo VP FIN v1_So 2008" xfId="8537" xr:uid="{00000000-0005-0000-0000-0000B41B0000}"/>
    <cellStyle name="s_Pippen Cases (2)_Comparativo VP MKT 2008 v1_So 2008" xfId="8538" xr:uid="{00000000-0005-0000-0000-0000B51B0000}"/>
    <cellStyle name="s_Pippen Cases (2)_Comparativo VP TEC 2008 v1_So 2008" xfId="8539" xr:uid="{00000000-0005-0000-0000-0000B61B0000}"/>
    <cellStyle name="s_Pippen Cases (2)_Comparativo VP TEC 2008_Luiz Sergio" xfId="8540" xr:uid="{00000000-0005-0000-0000-0000B71B0000}"/>
    <cellStyle name="s_Pippen Cases (2)_Cópia de Modelo - Fluxo de Caixa Orcamento 09052009_V36_3" xfId="4555" xr:uid="{00000000-0005-0000-0000-0000B81B0000}"/>
    <cellStyle name="s_Pippen Cases (2)_Fluxo de Caixa Orcamento FINAL_13052009" xfId="4556" xr:uid="{00000000-0005-0000-0000-0000B91B0000}"/>
    <cellStyle name="s_Pippen Cases (2)_FM_dummyV4" xfId="4557" xr:uid="{00000000-0005-0000-0000-0000BA1B0000}"/>
    <cellStyle name="s_Pippen Cases (2)_lalur" xfId="4558" xr:uid="{00000000-0005-0000-0000-0000BB1B0000}"/>
    <cellStyle name="s_Pippen Cases (2)_Leasing_V3" xfId="4559" xr:uid="{00000000-0005-0000-0000-0000BC1B0000}"/>
    <cellStyle name="s_Pippen Cases (2)_MODELO PDP III" xfId="4560" xr:uid="{00000000-0005-0000-0000-0000BD1B0000}"/>
    <cellStyle name="s_Pippen Cases (2)_ORÇ_2009" xfId="4561" xr:uid="{00000000-0005-0000-0000-0000BE1B0000}"/>
    <cellStyle name="s_Pippen Cases (2)_Pasta2" xfId="4562" xr:uid="{00000000-0005-0000-0000-0000BF1B0000}"/>
    <cellStyle name="s_Pippen ValMatrix (2)" xfId="4563" xr:uid="{00000000-0005-0000-0000-0000C01B0000}"/>
    <cellStyle name="s_Pippen ValMatrix (2)_1" xfId="4564" xr:uid="{00000000-0005-0000-0000-0000C11B0000}"/>
    <cellStyle name="s_Pippen ValMatrix (2)_1_Comparativo VP FIN v1_So 2008" xfId="8541" xr:uid="{00000000-0005-0000-0000-0000C21B0000}"/>
    <cellStyle name="s_Pippen ValMatrix (2)_1_Comparativo VP MKT 2008 v1_So 2008" xfId="8542" xr:uid="{00000000-0005-0000-0000-0000C31B0000}"/>
    <cellStyle name="s_Pippen ValMatrix (2)_1_Comparativo VP TEC 2008 v1_So 2008" xfId="8543" xr:uid="{00000000-0005-0000-0000-0000C41B0000}"/>
    <cellStyle name="s_Pippen ValMatrix (2)_1_Comparativo VP TEC 2008_Luiz Sergio" xfId="8544" xr:uid="{00000000-0005-0000-0000-0000C51B0000}"/>
    <cellStyle name="s_Pippen ValMatrix (2)_1_Cópia de Modelo - Fluxo de Caixa Orcamento 09052009_V36_3" xfId="4565" xr:uid="{00000000-0005-0000-0000-0000C61B0000}"/>
    <cellStyle name="s_Pippen ValMatrix (2)_1_Fluxo de Caixa Orcamento FINAL_13052009" xfId="4566" xr:uid="{00000000-0005-0000-0000-0000C71B0000}"/>
    <cellStyle name="s_Pippen ValMatrix (2)_1_FM_dummyV4" xfId="4567" xr:uid="{00000000-0005-0000-0000-0000C81B0000}"/>
    <cellStyle name="s_Pippen ValMatrix (2)_1_lalur" xfId="4568" xr:uid="{00000000-0005-0000-0000-0000C91B0000}"/>
    <cellStyle name="s_Pippen ValMatrix (2)_1_Leasing_V3" xfId="4569" xr:uid="{00000000-0005-0000-0000-0000CA1B0000}"/>
    <cellStyle name="s_Pippen ValMatrix (2)_1_MODELO PDP III" xfId="4570" xr:uid="{00000000-0005-0000-0000-0000CB1B0000}"/>
    <cellStyle name="s_Pippen ValMatrix (2)_1_ORÇ_2009" xfId="4571" xr:uid="{00000000-0005-0000-0000-0000CC1B0000}"/>
    <cellStyle name="s_Pippen ValMatrix (2)_1_Pasta2" xfId="4572" xr:uid="{00000000-0005-0000-0000-0000CD1B0000}"/>
    <cellStyle name="s_Pippen ValMatrix (2)_Comparativo VP FIN v1_So 2008" xfId="8545" xr:uid="{00000000-0005-0000-0000-0000CE1B0000}"/>
    <cellStyle name="s_Pippen ValMatrix (2)_Comparativo VP MKT 2008 v1_So 2008" xfId="8546" xr:uid="{00000000-0005-0000-0000-0000CF1B0000}"/>
    <cellStyle name="s_Pippen ValMatrix (2)_Comparativo VP TEC 2008 v1_So 2008" xfId="8547" xr:uid="{00000000-0005-0000-0000-0000D01B0000}"/>
    <cellStyle name="s_Pippen ValMatrix (2)_Comparativo VP TEC 2008_Luiz Sergio" xfId="8548" xr:uid="{00000000-0005-0000-0000-0000D11B0000}"/>
    <cellStyle name="s_Pippen ValMatrix (2)_Cópia de Modelo - Fluxo de Caixa Orcamento 09052009_V36_3" xfId="4573" xr:uid="{00000000-0005-0000-0000-0000D21B0000}"/>
    <cellStyle name="s_Pippen ValMatrix (2)_Fluxo de Caixa Orcamento FINAL_13052009" xfId="4574" xr:uid="{00000000-0005-0000-0000-0000D31B0000}"/>
    <cellStyle name="s_Pippen ValMatrix (2)_FM_dummyV4" xfId="4575" xr:uid="{00000000-0005-0000-0000-0000D41B0000}"/>
    <cellStyle name="s_Pippen ValMatrix (2)_lalur" xfId="4576" xr:uid="{00000000-0005-0000-0000-0000D51B0000}"/>
    <cellStyle name="s_Pippen ValMatrix (2)_Leasing_V3" xfId="4577" xr:uid="{00000000-0005-0000-0000-0000D61B0000}"/>
    <cellStyle name="s_Pippen ValMatrix (2)_MODELO PDP III" xfId="4578" xr:uid="{00000000-0005-0000-0000-0000D71B0000}"/>
    <cellStyle name="s_Pippen ValMatrix (2)_ORÇ_2009" xfId="4579" xr:uid="{00000000-0005-0000-0000-0000D81B0000}"/>
    <cellStyle name="s_Pippen ValMatrix (2)_Pasta2" xfId="4580" xr:uid="{00000000-0005-0000-0000-0000D91B0000}"/>
    <cellStyle name="s_PMAT (2)" xfId="4581" xr:uid="{00000000-0005-0000-0000-0000DA1B0000}"/>
    <cellStyle name="s_PMAT (2)_1" xfId="4582" xr:uid="{00000000-0005-0000-0000-0000DB1B0000}"/>
    <cellStyle name="s_PMAT (2)_1_Comparativo VP FIN v1_So 2008" xfId="8549" xr:uid="{00000000-0005-0000-0000-0000DC1B0000}"/>
    <cellStyle name="s_PMAT (2)_1_Comparativo VP MKT 2008 v1_So 2008" xfId="8550" xr:uid="{00000000-0005-0000-0000-0000DD1B0000}"/>
    <cellStyle name="s_PMAT (2)_1_Comparativo VP TEC 2008 v1_So 2008" xfId="8551" xr:uid="{00000000-0005-0000-0000-0000DE1B0000}"/>
    <cellStyle name="s_PMAT (2)_1_Comparativo VP TEC 2008_Luiz Sergio" xfId="8552" xr:uid="{00000000-0005-0000-0000-0000DF1B0000}"/>
    <cellStyle name="s_PMAT (2)_1_Cópia de Modelo - Fluxo de Caixa Orcamento 09052009_V36_3" xfId="4583" xr:uid="{00000000-0005-0000-0000-0000E01B0000}"/>
    <cellStyle name="s_PMAT (2)_1_Fluxo de Caixa Orcamento FINAL_13052009" xfId="4584" xr:uid="{00000000-0005-0000-0000-0000E11B0000}"/>
    <cellStyle name="s_PMAT (2)_1_FM_dummyV4" xfId="4585" xr:uid="{00000000-0005-0000-0000-0000E21B0000}"/>
    <cellStyle name="s_PMAT (2)_1_lalur" xfId="4586" xr:uid="{00000000-0005-0000-0000-0000E31B0000}"/>
    <cellStyle name="s_PMAT (2)_1_Leasing_V3" xfId="4587" xr:uid="{00000000-0005-0000-0000-0000E41B0000}"/>
    <cellStyle name="s_PMAT (2)_1_MODELO PDP III" xfId="4588" xr:uid="{00000000-0005-0000-0000-0000E51B0000}"/>
    <cellStyle name="s_PMAT (2)_1_ORÇ_2009" xfId="4589" xr:uid="{00000000-0005-0000-0000-0000E61B0000}"/>
    <cellStyle name="s_PMAT (2)_1_Pasta2" xfId="4590" xr:uid="{00000000-0005-0000-0000-0000E71B0000}"/>
    <cellStyle name="s_PMAT (2)_Celtic DCF" xfId="4591" xr:uid="{00000000-0005-0000-0000-0000E81B0000}"/>
    <cellStyle name="s_PMAT (2)_Celtic DCF Inputs" xfId="4592" xr:uid="{00000000-0005-0000-0000-0000E91B0000}"/>
    <cellStyle name="s_PMAT (2)_Celtic DCF Inputs_Comparativo VP FIN v1_So 2008" xfId="8553" xr:uid="{00000000-0005-0000-0000-0000EA1B0000}"/>
    <cellStyle name="s_PMAT (2)_Celtic DCF Inputs_Comparativo VP MKT 2008 v1_So 2008" xfId="8554" xr:uid="{00000000-0005-0000-0000-0000EB1B0000}"/>
    <cellStyle name="s_PMAT (2)_Celtic DCF Inputs_Comparativo VP TEC 2008 v1_So 2008" xfId="8555" xr:uid="{00000000-0005-0000-0000-0000EC1B0000}"/>
    <cellStyle name="s_PMAT (2)_Celtic DCF Inputs_Comparativo VP TEC 2008_Luiz Sergio" xfId="8556" xr:uid="{00000000-0005-0000-0000-0000ED1B0000}"/>
    <cellStyle name="s_PMAT (2)_Celtic DCF Inputs_Cópia de Modelo - Fluxo de Caixa Orcamento 09052009_V36_3" xfId="4593" xr:uid="{00000000-0005-0000-0000-0000EE1B0000}"/>
    <cellStyle name="s_PMAT (2)_Celtic DCF Inputs_Fluxo de Caixa Orcamento FINAL_13052009" xfId="4594" xr:uid="{00000000-0005-0000-0000-0000EF1B0000}"/>
    <cellStyle name="s_PMAT (2)_Celtic DCF Inputs_FM_dummyV4" xfId="4595" xr:uid="{00000000-0005-0000-0000-0000F01B0000}"/>
    <cellStyle name="s_PMAT (2)_Celtic DCF Inputs_lalur" xfId="4596" xr:uid="{00000000-0005-0000-0000-0000F11B0000}"/>
    <cellStyle name="s_PMAT (2)_Celtic DCF Inputs_Leasing_V3" xfId="4597" xr:uid="{00000000-0005-0000-0000-0000F21B0000}"/>
    <cellStyle name="s_PMAT (2)_Celtic DCF Inputs_MODELO PDP III" xfId="4598" xr:uid="{00000000-0005-0000-0000-0000F31B0000}"/>
    <cellStyle name="s_PMAT (2)_Celtic DCF Inputs_ORÇ_2009" xfId="4599" xr:uid="{00000000-0005-0000-0000-0000F41B0000}"/>
    <cellStyle name="s_PMAT (2)_Celtic DCF Inputs_Pasta2" xfId="4600" xr:uid="{00000000-0005-0000-0000-0000F51B0000}"/>
    <cellStyle name="s_PMAT (2)_Celtic DCF_Comparativo VP FIN v1_So 2008" xfId="8557" xr:uid="{00000000-0005-0000-0000-0000F61B0000}"/>
    <cellStyle name="s_PMAT (2)_Celtic DCF_Comparativo VP MKT 2008 v1_So 2008" xfId="8558" xr:uid="{00000000-0005-0000-0000-0000F71B0000}"/>
    <cellStyle name="s_PMAT (2)_Celtic DCF_Comparativo VP TEC 2008 v1_So 2008" xfId="8559" xr:uid="{00000000-0005-0000-0000-0000F81B0000}"/>
    <cellStyle name="s_PMAT (2)_Celtic DCF_Comparativo VP TEC 2008_Luiz Sergio" xfId="8560" xr:uid="{00000000-0005-0000-0000-0000F91B0000}"/>
    <cellStyle name="s_PMAT (2)_Celtic DCF_Cópia de Modelo - Fluxo de Caixa Orcamento 09052009_V36_3" xfId="4601" xr:uid="{00000000-0005-0000-0000-0000FA1B0000}"/>
    <cellStyle name="s_PMAT (2)_Celtic DCF_Fluxo de Caixa Orcamento FINAL_13052009" xfId="4602" xr:uid="{00000000-0005-0000-0000-0000FB1B0000}"/>
    <cellStyle name="s_PMAT (2)_Celtic DCF_FM_dummyV4" xfId="4603" xr:uid="{00000000-0005-0000-0000-0000FC1B0000}"/>
    <cellStyle name="s_PMAT (2)_Celtic DCF_lalur" xfId="4604" xr:uid="{00000000-0005-0000-0000-0000FD1B0000}"/>
    <cellStyle name="s_PMAT (2)_Celtic DCF_Leasing_V3" xfId="4605" xr:uid="{00000000-0005-0000-0000-0000FE1B0000}"/>
    <cellStyle name="s_PMAT (2)_Celtic DCF_MODELO PDP III" xfId="4606" xr:uid="{00000000-0005-0000-0000-0000FF1B0000}"/>
    <cellStyle name="s_PMAT (2)_Celtic DCF_ORÇ_2009" xfId="4607" xr:uid="{00000000-0005-0000-0000-0000001C0000}"/>
    <cellStyle name="s_PMAT (2)_Celtic DCF_Pasta2" xfId="4608" xr:uid="{00000000-0005-0000-0000-0000011C0000}"/>
    <cellStyle name="s_PMAT (2)_Comparativo VP FIN v1_So 2008" xfId="8561" xr:uid="{00000000-0005-0000-0000-0000021C0000}"/>
    <cellStyle name="s_PMAT (2)_Comparativo VP MKT 2008 v1_So 2008" xfId="8562" xr:uid="{00000000-0005-0000-0000-0000031C0000}"/>
    <cellStyle name="s_PMAT (2)_Comparativo VP TEC 2008 v1_So 2008" xfId="8563" xr:uid="{00000000-0005-0000-0000-0000041C0000}"/>
    <cellStyle name="s_PMAT (2)_Comparativo VP TEC 2008_Luiz Sergio" xfId="8564" xr:uid="{00000000-0005-0000-0000-0000051C0000}"/>
    <cellStyle name="s_PMAT (2)_Cópia de Modelo - Fluxo de Caixa Orcamento 09052009_V36_3" xfId="4609" xr:uid="{00000000-0005-0000-0000-0000061C0000}"/>
    <cellStyle name="s_PMAT (2)_Fluxo de Caixa Orcamento FINAL_13052009" xfId="4610" xr:uid="{00000000-0005-0000-0000-0000071C0000}"/>
    <cellStyle name="s_PMAT (2)_FM_dummyV4" xfId="4611" xr:uid="{00000000-0005-0000-0000-0000081C0000}"/>
    <cellStyle name="s_PMAT (2)_lalur" xfId="4612" xr:uid="{00000000-0005-0000-0000-0000091C0000}"/>
    <cellStyle name="s_PMAT (2)_Leasing_V3" xfId="4613" xr:uid="{00000000-0005-0000-0000-00000A1C0000}"/>
    <cellStyle name="s_PMAT (2)_MODELO PDP III" xfId="4614" xr:uid="{00000000-0005-0000-0000-00000B1C0000}"/>
    <cellStyle name="s_PMAT (2)_ORÇ_2009" xfId="4615" xr:uid="{00000000-0005-0000-0000-00000C1C0000}"/>
    <cellStyle name="s_PMAT (2)_Pasta2" xfId="4616" xr:uid="{00000000-0005-0000-0000-00000D1C0000}"/>
    <cellStyle name="s_PMAT (2)_Valuation Summary" xfId="4617" xr:uid="{00000000-0005-0000-0000-00000E1C0000}"/>
    <cellStyle name="s_PMAT (2)_Valuation Summary_Comparativo VP FIN v1_So 2008" xfId="8565" xr:uid="{00000000-0005-0000-0000-00000F1C0000}"/>
    <cellStyle name="s_PMAT (2)_Valuation Summary_Comparativo VP MKT 2008 v1_So 2008" xfId="8566" xr:uid="{00000000-0005-0000-0000-0000101C0000}"/>
    <cellStyle name="s_PMAT (2)_Valuation Summary_Comparativo VP TEC 2008 v1_So 2008" xfId="8567" xr:uid="{00000000-0005-0000-0000-0000111C0000}"/>
    <cellStyle name="s_PMAT (2)_Valuation Summary_Comparativo VP TEC 2008_Luiz Sergio" xfId="8568" xr:uid="{00000000-0005-0000-0000-0000121C0000}"/>
    <cellStyle name="s_PMAT (2)_Valuation Summary_Cópia de Modelo - Fluxo de Caixa Orcamento 09052009_V36_3" xfId="4618" xr:uid="{00000000-0005-0000-0000-0000131C0000}"/>
    <cellStyle name="s_PMAT (2)_Valuation Summary_Fluxo de Caixa Orcamento FINAL_13052009" xfId="4619" xr:uid="{00000000-0005-0000-0000-0000141C0000}"/>
    <cellStyle name="s_PMAT (2)_Valuation Summary_FM_dummyV4" xfId="4620" xr:uid="{00000000-0005-0000-0000-0000151C0000}"/>
    <cellStyle name="s_PMAT (2)_Valuation Summary_lalur" xfId="4621" xr:uid="{00000000-0005-0000-0000-0000161C0000}"/>
    <cellStyle name="s_PMAT (2)_Valuation Summary_Leasing_V3" xfId="4622" xr:uid="{00000000-0005-0000-0000-0000171C0000}"/>
    <cellStyle name="s_PMAT (2)_Valuation Summary_MODELO PDP III" xfId="4623" xr:uid="{00000000-0005-0000-0000-0000181C0000}"/>
    <cellStyle name="s_PMAT (2)_Valuation Summary_ORÇ_2009" xfId="4624" xr:uid="{00000000-0005-0000-0000-0000191C0000}"/>
    <cellStyle name="s_PMAT (2)_Valuation Summary_Pasta2" xfId="4625" xr:uid="{00000000-0005-0000-0000-00001A1C0000}"/>
    <cellStyle name="s_PMAT (3)" xfId="4626" xr:uid="{00000000-0005-0000-0000-00001B1C0000}"/>
    <cellStyle name="s_PMAT (3)_1" xfId="4627" xr:uid="{00000000-0005-0000-0000-00001C1C0000}"/>
    <cellStyle name="s_PMAT (3)_1_Comparativo VP FIN v1_So 2008" xfId="8569" xr:uid="{00000000-0005-0000-0000-00001D1C0000}"/>
    <cellStyle name="s_PMAT (3)_1_Comparativo VP MKT 2008 v1_So 2008" xfId="8570" xr:uid="{00000000-0005-0000-0000-00001E1C0000}"/>
    <cellStyle name="s_PMAT (3)_1_Comparativo VP TEC 2008 v1_So 2008" xfId="8571" xr:uid="{00000000-0005-0000-0000-00001F1C0000}"/>
    <cellStyle name="s_PMAT (3)_1_Comparativo VP TEC 2008_Luiz Sergio" xfId="8572" xr:uid="{00000000-0005-0000-0000-0000201C0000}"/>
    <cellStyle name="s_PMAT (3)_1_Cópia de Modelo - Fluxo de Caixa Orcamento 09052009_V36_3" xfId="4628" xr:uid="{00000000-0005-0000-0000-0000211C0000}"/>
    <cellStyle name="s_PMAT (3)_1_Fluxo de Caixa Orcamento FINAL_13052009" xfId="4629" xr:uid="{00000000-0005-0000-0000-0000221C0000}"/>
    <cellStyle name="s_PMAT (3)_1_FM_dummyV4" xfId="4630" xr:uid="{00000000-0005-0000-0000-0000231C0000}"/>
    <cellStyle name="s_PMAT (3)_1_lalur" xfId="4631" xr:uid="{00000000-0005-0000-0000-0000241C0000}"/>
    <cellStyle name="s_PMAT (3)_1_Leasing_V3" xfId="4632" xr:uid="{00000000-0005-0000-0000-0000251C0000}"/>
    <cellStyle name="s_PMAT (3)_1_MODELO PDP III" xfId="4633" xr:uid="{00000000-0005-0000-0000-0000261C0000}"/>
    <cellStyle name="s_PMAT (3)_1_ORÇ_2009" xfId="4634" xr:uid="{00000000-0005-0000-0000-0000271C0000}"/>
    <cellStyle name="s_PMAT (3)_1_Pasta2" xfId="4635" xr:uid="{00000000-0005-0000-0000-0000281C0000}"/>
    <cellStyle name="s_PMAT (3)_2" xfId="4636" xr:uid="{00000000-0005-0000-0000-0000291C0000}"/>
    <cellStyle name="s_PMAT (3)_2_Comparativo VP FIN v1_So 2008" xfId="8573" xr:uid="{00000000-0005-0000-0000-00002A1C0000}"/>
    <cellStyle name="s_PMAT (3)_2_Comparativo VP MKT 2008 v1_So 2008" xfId="8574" xr:uid="{00000000-0005-0000-0000-00002B1C0000}"/>
    <cellStyle name="s_PMAT (3)_2_Comparativo VP TEC 2008 v1_So 2008" xfId="8575" xr:uid="{00000000-0005-0000-0000-00002C1C0000}"/>
    <cellStyle name="s_PMAT (3)_2_Comparativo VP TEC 2008_Luiz Sergio" xfId="8576" xr:uid="{00000000-0005-0000-0000-00002D1C0000}"/>
    <cellStyle name="s_PMAT (3)_2_Cópia de Modelo - Fluxo de Caixa Orcamento 09052009_V36_3" xfId="4637" xr:uid="{00000000-0005-0000-0000-00002E1C0000}"/>
    <cellStyle name="s_PMAT (3)_2_Fluxo de Caixa Orcamento FINAL_13052009" xfId="4638" xr:uid="{00000000-0005-0000-0000-00002F1C0000}"/>
    <cellStyle name="s_PMAT (3)_2_FM_dummyV4" xfId="4639" xr:uid="{00000000-0005-0000-0000-0000301C0000}"/>
    <cellStyle name="s_PMAT (3)_2_lalur" xfId="4640" xr:uid="{00000000-0005-0000-0000-0000311C0000}"/>
    <cellStyle name="s_PMAT (3)_2_Leasing_V3" xfId="4641" xr:uid="{00000000-0005-0000-0000-0000321C0000}"/>
    <cellStyle name="s_PMAT (3)_2_MODELO PDP III" xfId="4642" xr:uid="{00000000-0005-0000-0000-0000331C0000}"/>
    <cellStyle name="s_PMAT (3)_2_ORÇ_2009" xfId="4643" xr:uid="{00000000-0005-0000-0000-0000341C0000}"/>
    <cellStyle name="s_PMAT (3)_2_Pasta2" xfId="4644" xr:uid="{00000000-0005-0000-0000-0000351C0000}"/>
    <cellStyle name="s_PMAT (3)_Celtic DCF" xfId="4645" xr:uid="{00000000-0005-0000-0000-0000361C0000}"/>
    <cellStyle name="s_PMAT (3)_Celtic DCF Inputs" xfId="4646" xr:uid="{00000000-0005-0000-0000-0000371C0000}"/>
    <cellStyle name="s_PMAT (3)_Celtic DCF Inputs_Comparativo VP FIN v1_So 2008" xfId="8577" xr:uid="{00000000-0005-0000-0000-0000381C0000}"/>
    <cellStyle name="s_PMAT (3)_Celtic DCF Inputs_Comparativo VP MKT 2008 v1_So 2008" xfId="8578" xr:uid="{00000000-0005-0000-0000-0000391C0000}"/>
    <cellStyle name="s_PMAT (3)_Celtic DCF Inputs_Comparativo VP TEC 2008 v1_So 2008" xfId="8579" xr:uid="{00000000-0005-0000-0000-00003A1C0000}"/>
    <cellStyle name="s_PMAT (3)_Celtic DCF Inputs_Comparativo VP TEC 2008_Luiz Sergio" xfId="8580" xr:uid="{00000000-0005-0000-0000-00003B1C0000}"/>
    <cellStyle name="s_PMAT (3)_Celtic DCF Inputs_Cópia de Modelo - Fluxo de Caixa Orcamento 09052009_V36_3" xfId="4647" xr:uid="{00000000-0005-0000-0000-00003C1C0000}"/>
    <cellStyle name="s_PMAT (3)_Celtic DCF Inputs_Fluxo de Caixa Orcamento FINAL_13052009" xfId="4648" xr:uid="{00000000-0005-0000-0000-00003D1C0000}"/>
    <cellStyle name="s_PMAT (3)_Celtic DCF Inputs_FM_dummyV4" xfId="4649" xr:uid="{00000000-0005-0000-0000-00003E1C0000}"/>
    <cellStyle name="s_PMAT (3)_Celtic DCF Inputs_lalur" xfId="4650" xr:uid="{00000000-0005-0000-0000-00003F1C0000}"/>
    <cellStyle name="s_PMAT (3)_Celtic DCF Inputs_Leasing_V3" xfId="4651" xr:uid="{00000000-0005-0000-0000-0000401C0000}"/>
    <cellStyle name="s_PMAT (3)_Celtic DCF Inputs_MODELO PDP III" xfId="4652" xr:uid="{00000000-0005-0000-0000-0000411C0000}"/>
    <cellStyle name="s_PMAT (3)_Celtic DCF Inputs_ORÇ_2009" xfId="4653" xr:uid="{00000000-0005-0000-0000-0000421C0000}"/>
    <cellStyle name="s_PMAT (3)_Celtic DCF Inputs_Pasta2" xfId="4654" xr:uid="{00000000-0005-0000-0000-0000431C0000}"/>
    <cellStyle name="s_PMAT (3)_Celtic DCF_Comparativo VP FIN v1_So 2008" xfId="8581" xr:uid="{00000000-0005-0000-0000-0000441C0000}"/>
    <cellStyle name="s_PMAT (3)_Celtic DCF_Comparativo VP MKT 2008 v1_So 2008" xfId="8582" xr:uid="{00000000-0005-0000-0000-0000451C0000}"/>
    <cellStyle name="s_PMAT (3)_Celtic DCF_Comparativo VP TEC 2008 v1_So 2008" xfId="8583" xr:uid="{00000000-0005-0000-0000-0000461C0000}"/>
    <cellStyle name="s_PMAT (3)_Celtic DCF_Comparativo VP TEC 2008_Luiz Sergio" xfId="8584" xr:uid="{00000000-0005-0000-0000-0000471C0000}"/>
    <cellStyle name="s_PMAT (3)_Celtic DCF_Cópia de Modelo - Fluxo de Caixa Orcamento 09052009_V36_3" xfId="4655" xr:uid="{00000000-0005-0000-0000-0000481C0000}"/>
    <cellStyle name="s_PMAT (3)_Celtic DCF_Fluxo de Caixa Orcamento FINAL_13052009" xfId="4656" xr:uid="{00000000-0005-0000-0000-0000491C0000}"/>
    <cellStyle name="s_PMAT (3)_Celtic DCF_FM_dummyV4" xfId="4657" xr:uid="{00000000-0005-0000-0000-00004A1C0000}"/>
    <cellStyle name="s_PMAT (3)_Celtic DCF_lalur" xfId="4658" xr:uid="{00000000-0005-0000-0000-00004B1C0000}"/>
    <cellStyle name="s_PMAT (3)_Celtic DCF_Leasing_V3" xfId="4659" xr:uid="{00000000-0005-0000-0000-00004C1C0000}"/>
    <cellStyle name="s_PMAT (3)_Celtic DCF_MODELO PDP III" xfId="4660" xr:uid="{00000000-0005-0000-0000-00004D1C0000}"/>
    <cellStyle name="s_PMAT (3)_Celtic DCF_ORÇ_2009" xfId="4661" xr:uid="{00000000-0005-0000-0000-00004E1C0000}"/>
    <cellStyle name="s_PMAT (3)_Celtic DCF_Pasta2" xfId="4662" xr:uid="{00000000-0005-0000-0000-00004F1C0000}"/>
    <cellStyle name="s_PMAT (3)_Comparativo VP FIN v1_So 2008" xfId="8585" xr:uid="{00000000-0005-0000-0000-0000501C0000}"/>
    <cellStyle name="s_PMAT (3)_Comparativo VP MKT 2008 v1_So 2008" xfId="8586" xr:uid="{00000000-0005-0000-0000-0000511C0000}"/>
    <cellStyle name="s_PMAT (3)_Comparativo VP TEC 2008 v1_So 2008" xfId="8587" xr:uid="{00000000-0005-0000-0000-0000521C0000}"/>
    <cellStyle name="s_PMAT (3)_Comparativo VP TEC 2008_Luiz Sergio" xfId="8588" xr:uid="{00000000-0005-0000-0000-0000531C0000}"/>
    <cellStyle name="s_PMAT (3)_Cópia de Modelo - Fluxo de Caixa Orcamento 09052009_V36_3" xfId="4663" xr:uid="{00000000-0005-0000-0000-0000541C0000}"/>
    <cellStyle name="s_PMAT (3)_Fluxo de Caixa Orcamento FINAL_13052009" xfId="4664" xr:uid="{00000000-0005-0000-0000-0000551C0000}"/>
    <cellStyle name="s_PMAT (3)_FM_dummyV4" xfId="4665" xr:uid="{00000000-0005-0000-0000-0000561C0000}"/>
    <cellStyle name="s_PMAT (3)_lalur" xfId="4666" xr:uid="{00000000-0005-0000-0000-0000571C0000}"/>
    <cellStyle name="s_PMAT (3)_Leasing_V3" xfId="4667" xr:uid="{00000000-0005-0000-0000-0000581C0000}"/>
    <cellStyle name="s_PMAT (3)_MODELO PDP III" xfId="4668" xr:uid="{00000000-0005-0000-0000-0000591C0000}"/>
    <cellStyle name="s_PMAT (3)_ORÇ_2009" xfId="4669" xr:uid="{00000000-0005-0000-0000-00005A1C0000}"/>
    <cellStyle name="s_PMAT (3)_Pasta2" xfId="4670" xr:uid="{00000000-0005-0000-0000-00005B1C0000}"/>
    <cellStyle name="s_PMAT (3)_Valuation Summary" xfId="4671" xr:uid="{00000000-0005-0000-0000-00005C1C0000}"/>
    <cellStyle name="s_PMAT (3)_Valuation Summary_Comparativo VP FIN v1_So 2008" xfId="8589" xr:uid="{00000000-0005-0000-0000-00005D1C0000}"/>
    <cellStyle name="s_PMAT (3)_Valuation Summary_Comparativo VP MKT 2008 v1_So 2008" xfId="8590" xr:uid="{00000000-0005-0000-0000-00005E1C0000}"/>
    <cellStyle name="s_PMAT (3)_Valuation Summary_Comparativo VP TEC 2008 v1_So 2008" xfId="8591" xr:uid="{00000000-0005-0000-0000-00005F1C0000}"/>
    <cellStyle name="s_PMAT (3)_Valuation Summary_Comparativo VP TEC 2008_Luiz Sergio" xfId="8592" xr:uid="{00000000-0005-0000-0000-0000601C0000}"/>
    <cellStyle name="s_PMAT (3)_Valuation Summary_Cópia de Modelo - Fluxo de Caixa Orcamento 09052009_V36_3" xfId="4672" xr:uid="{00000000-0005-0000-0000-0000611C0000}"/>
    <cellStyle name="s_PMAT (3)_Valuation Summary_Fluxo de Caixa Orcamento FINAL_13052009" xfId="4673" xr:uid="{00000000-0005-0000-0000-0000621C0000}"/>
    <cellStyle name="s_PMAT (3)_Valuation Summary_FM_dummyV4" xfId="4674" xr:uid="{00000000-0005-0000-0000-0000631C0000}"/>
    <cellStyle name="s_PMAT (3)_Valuation Summary_lalur" xfId="4675" xr:uid="{00000000-0005-0000-0000-0000641C0000}"/>
    <cellStyle name="s_PMAT (3)_Valuation Summary_Leasing_V3" xfId="4676" xr:uid="{00000000-0005-0000-0000-0000651C0000}"/>
    <cellStyle name="s_PMAT (3)_Valuation Summary_MODELO PDP III" xfId="4677" xr:uid="{00000000-0005-0000-0000-0000661C0000}"/>
    <cellStyle name="s_PMAT (3)_Valuation Summary_ORÇ_2009" xfId="4678" xr:uid="{00000000-0005-0000-0000-0000671C0000}"/>
    <cellStyle name="s_PMAT (3)_Valuation Summary_Pasta2" xfId="4679" xr:uid="{00000000-0005-0000-0000-0000681C0000}"/>
    <cellStyle name="s_PoundInc" xfId="4680" xr:uid="{00000000-0005-0000-0000-0000691C0000}"/>
    <cellStyle name="s_PoundInc (2)" xfId="4681" xr:uid="{00000000-0005-0000-0000-00006A1C0000}"/>
    <cellStyle name="s_PoundInc (2)_1" xfId="4682" xr:uid="{00000000-0005-0000-0000-00006B1C0000}"/>
    <cellStyle name="s_PoundInc (2)_1_Celtic DCF" xfId="4683" xr:uid="{00000000-0005-0000-0000-00006C1C0000}"/>
    <cellStyle name="s_PoundInc (2)_1_Celtic DCF Inputs" xfId="4684" xr:uid="{00000000-0005-0000-0000-00006D1C0000}"/>
    <cellStyle name="s_PoundInc (2)_1_Celtic DCF Inputs_Comparativo VP FIN v1_So 2008" xfId="8593" xr:uid="{00000000-0005-0000-0000-00006E1C0000}"/>
    <cellStyle name="s_PoundInc (2)_1_Celtic DCF Inputs_Comparativo VP MKT 2008 v1_So 2008" xfId="8594" xr:uid="{00000000-0005-0000-0000-00006F1C0000}"/>
    <cellStyle name="s_PoundInc (2)_1_Celtic DCF Inputs_Comparativo VP TEC 2008 v1_So 2008" xfId="8595" xr:uid="{00000000-0005-0000-0000-0000701C0000}"/>
    <cellStyle name="s_PoundInc (2)_1_Celtic DCF Inputs_Comparativo VP TEC 2008_Luiz Sergio" xfId="8596" xr:uid="{00000000-0005-0000-0000-0000711C0000}"/>
    <cellStyle name="s_PoundInc (2)_1_Celtic DCF Inputs_Cópia de Modelo - Fluxo de Caixa Orcamento 09052009_V36_3" xfId="4685" xr:uid="{00000000-0005-0000-0000-0000721C0000}"/>
    <cellStyle name="s_PoundInc (2)_1_Celtic DCF Inputs_Fluxo de Caixa Orcamento FINAL_13052009" xfId="4686" xr:uid="{00000000-0005-0000-0000-0000731C0000}"/>
    <cellStyle name="s_PoundInc (2)_1_Celtic DCF Inputs_FM_dummyV4" xfId="4687" xr:uid="{00000000-0005-0000-0000-0000741C0000}"/>
    <cellStyle name="s_PoundInc (2)_1_Celtic DCF Inputs_lalur" xfId="4688" xr:uid="{00000000-0005-0000-0000-0000751C0000}"/>
    <cellStyle name="s_PoundInc (2)_1_Celtic DCF Inputs_Leasing_V3" xfId="4689" xr:uid="{00000000-0005-0000-0000-0000761C0000}"/>
    <cellStyle name="s_PoundInc (2)_1_Celtic DCF Inputs_MODELO PDP III" xfId="4690" xr:uid="{00000000-0005-0000-0000-0000771C0000}"/>
    <cellStyle name="s_PoundInc (2)_1_Celtic DCF Inputs_ORÇ_2009" xfId="4691" xr:uid="{00000000-0005-0000-0000-0000781C0000}"/>
    <cellStyle name="s_PoundInc (2)_1_Celtic DCF Inputs_Pasta2" xfId="4692" xr:uid="{00000000-0005-0000-0000-0000791C0000}"/>
    <cellStyle name="s_PoundInc (2)_1_Celtic DCF_Comparativo VP FIN v1_So 2008" xfId="8597" xr:uid="{00000000-0005-0000-0000-00007A1C0000}"/>
    <cellStyle name="s_PoundInc (2)_1_Celtic DCF_Comparativo VP MKT 2008 v1_So 2008" xfId="8598" xr:uid="{00000000-0005-0000-0000-00007B1C0000}"/>
    <cellStyle name="s_PoundInc (2)_1_Celtic DCF_Comparativo VP TEC 2008 v1_So 2008" xfId="8599" xr:uid="{00000000-0005-0000-0000-00007C1C0000}"/>
    <cellStyle name="s_PoundInc (2)_1_Celtic DCF_Comparativo VP TEC 2008_Luiz Sergio" xfId="8600" xr:uid="{00000000-0005-0000-0000-00007D1C0000}"/>
    <cellStyle name="s_PoundInc (2)_1_Celtic DCF_Cópia de Modelo - Fluxo de Caixa Orcamento 09052009_V36_3" xfId="4693" xr:uid="{00000000-0005-0000-0000-00007E1C0000}"/>
    <cellStyle name="s_PoundInc (2)_1_Celtic DCF_Fluxo de Caixa Orcamento FINAL_13052009" xfId="4694" xr:uid="{00000000-0005-0000-0000-00007F1C0000}"/>
    <cellStyle name="s_PoundInc (2)_1_Celtic DCF_FM_dummyV4" xfId="4695" xr:uid="{00000000-0005-0000-0000-0000801C0000}"/>
    <cellStyle name="s_PoundInc (2)_1_Celtic DCF_lalur" xfId="4696" xr:uid="{00000000-0005-0000-0000-0000811C0000}"/>
    <cellStyle name="s_PoundInc (2)_1_Celtic DCF_Leasing_V3" xfId="4697" xr:uid="{00000000-0005-0000-0000-0000821C0000}"/>
    <cellStyle name="s_PoundInc (2)_1_Celtic DCF_MODELO PDP III" xfId="4698" xr:uid="{00000000-0005-0000-0000-0000831C0000}"/>
    <cellStyle name="s_PoundInc (2)_1_Celtic DCF_ORÇ_2009" xfId="4699" xr:uid="{00000000-0005-0000-0000-0000841C0000}"/>
    <cellStyle name="s_PoundInc (2)_1_Celtic DCF_Pasta2" xfId="4700" xr:uid="{00000000-0005-0000-0000-0000851C0000}"/>
    <cellStyle name="s_PoundInc (2)_1_Comparativo VP FIN v1_So 2008" xfId="8601" xr:uid="{00000000-0005-0000-0000-0000861C0000}"/>
    <cellStyle name="s_PoundInc (2)_1_Comparativo VP MKT 2008 v1_So 2008" xfId="8602" xr:uid="{00000000-0005-0000-0000-0000871C0000}"/>
    <cellStyle name="s_PoundInc (2)_1_Comparativo VP TEC 2008 v1_So 2008" xfId="8603" xr:uid="{00000000-0005-0000-0000-0000881C0000}"/>
    <cellStyle name="s_PoundInc (2)_1_Comparativo VP TEC 2008_Luiz Sergio" xfId="8604" xr:uid="{00000000-0005-0000-0000-0000891C0000}"/>
    <cellStyle name="s_PoundInc (2)_1_Cópia de Modelo - Fluxo de Caixa Orcamento 09052009_V36_3" xfId="4701" xr:uid="{00000000-0005-0000-0000-00008A1C0000}"/>
    <cellStyle name="s_PoundInc (2)_1_Fluxo de Caixa Orcamento FINAL_13052009" xfId="4702" xr:uid="{00000000-0005-0000-0000-00008B1C0000}"/>
    <cellStyle name="s_PoundInc (2)_1_FM_dummyV4" xfId="4703" xr:uid="{00000000-0005-0000-0000-00008C1C0000}"/>
    <cellStyle name="s_PoundInc (2)_1_lalur" xfId="4704" xr:uid="{00000000-0005-0000-0000-00008D1C0000}"/>
    <cellStyle name="s_PoundInc (2)_1_Leasing_V3" xfId="4705" xr:uid="{00000000-0005-0000-0000-00008E1C0000}"/>
    <cellStyle name="s_PoundInc (2)_1_MODELO PDP III" xfId="4706" xr:uid="{00000000-0005-0000-0000-00008F1C0000}"/>
    <cellStyle name="s_PoundInc (2)_1_ORÇ_2009" xfId="4707" xr:uid="{00000000-0005-0000-0000-0000901C0000}"/>
    <cellStyle name="s_PoundInc (2)_1_Pasta2" xfId="4708" xr:uid="{00000000-0005-0000-0000-0000911C0000}"/>
    <cellStyle name="s_PoundInc (2)_1_Valuation Summary" xfId="4709" xr:uid="{00000000-0005-0000-0000-0000921C0000}"/>
    <cellStyle name="s_PoundInc (2)_1_Valuation Summary_Comparativo VP FIN v1_So 2008" xfId="8605" xr:uid="{00000000-0005-0000-0000-0000931C0000}"/>
    <cellStyle name="s_PoundInc (2)_1_Valuation Summary_Comparativo VP MKT 2008 v1_So 2008" xfId="8606" xr:uid="{00000000-0005-0000-0000-0000941C0000}"/>
    <cellStyle name="s_PoundInc (2)_1_Valuation Summary_Comparativo VP TEC 2008 v1_So 2008" xfId="8607" xr:uid="{00000000-0005-0000-0000-0000951C0000}"/>
    <cellStyle name="s_PoundInc (2)_1_Valuation Summary_Comparativo VP TEC 2008_Luiz Sergio" xfId="8608" xr:uid="{00000000-0005-0000-0000-0000961C0000}"/>
    <cellStyle name="s_PoundInc (2)_1_Valuation Summary_Cópia de Modelo - Fluxo de Caixa Orcamento 09052009_V36_3" xfId="4710" xr:uid="{00000000-0005-0000-0000-0000971C0000}"/>
    <cellStyle name="s_PoundInc (2)_1_Valuation Summary_Fluxo de Caixa Orcamento FINAL_13052009" xfId="4711" xr:uid="{00000000-0005-0000-0000-0000981C0000}"/>
    <cellStyle name="s_PoundInc (2)_1_Valuation Summary_FM_dummyV4" xfId="4712" xr:uid="{00000000-0005-0000-0000-0000991C0000}"/>
    <cellStyle name="s_PoundInc (2)_1_Valuation Summary_lalur" xfId="4713" xr:uid="{00000000-0005-0000-0000-00009A1C0000}"/>
    <cellStyle name="s_PoundInc (2)_1_Valuation Summary_Leasing_V3" xfId="4714" xr:uid="{00000000-0005-0000-0000-00009B1C0000}"/>
    <cellStyle name="s_PoundInc (2)_1_Valuation Summary_MODELO PDP III" xfId="4715" xr:uid="{00000000-0005-0000-0000-00009C1C0000}"/>
    <cellStyle name="s_PoundInc (2)_1_Valuation Summary_ORÇ_2009" xfId="4716" xr:uid="{00000000-0005-0000-0000-00009D1C0000}"/>
    <cellStyle name="s_PoundInc (2)_1_Valuation Summary_Pasta2" xfId="4717" xr:uid="{00000000-0005-0000-0000-00009E1C0000}"/>
    <cellStyle name="s_PoundInc (2)_2" xfId="4718" xr:uid="{00000000-0005-0000-0000-00009F1C0000}"/>
    <cellStyle name="s_PoundInc (2)_2_Comparativo VP FIN v1_So 2008" xfId="8609" xr:uid="{00000000-0005-0000-0000-0000A01C0000}"/>
    <cellStyle name="s_PoundInc (2)_2_Comparativo VP MKT 2008 v1_So 2008" xfId="8610" xr:uid="{00000000-0005-0000-0000-0000A11C0000}"/>
    <cellStyle name="s_PoundInc (2)_2_Comparativo VP TEC 2008 v1_So 2008" xfId="8611" xr:uid="{00000000-0005-0000-0000-0000A21C0000}"/>
    <cellStyle name="s_PoundInc (2)_2_Comparativo VP TEC 2008_Luiz Sergio" xfId="8612" xr:uid="{00000000-0005-0000-0000-0000A31C0000}"/>
    <cellStyle name="s_PoundInc (2)_2_Cópia de Modelo - Fluxo de Caixa Orcamento 09052009_V36_3" xfId="4719" xr:uid="{00000000-0005-0000-0000-0000A41C0000}"/>
    <cellStyle name="s_PoundInc (2)_2_Fluxo de Caixa Orcamento FINAL_13052009" xfId="4720" xr:uid="{00000000-0005-0000-0000-0000A51C0000}"/>
    <cellStyle name="s_PoundInc (2)_2_FM_dummyV4" xfId="4721" xr:uid="{00000000-0005-0000-0000-0000A61C0000}"/>
    <cellStyle name="s_PoundInc (2)_2_lalur" xfId="4722" xr:uid="{00000000-0005-0000-0000-0000A71C0000}"/>
    <cellStyle name="s_PoundInc (2)_2_Leasing_V3" xfId="4723" xr:uid="{00000000-0005-0000-0000-0000A81C0000}"/>
    <cellStyle name="s_PoundInc (2)_2_MODELO PDP III" xfId="4724" xr:uid="{00000000-0005-0000-0000-0000A91C0000}"/>
    <cellStyle name="s_PoundInc (2)_2_ORÇ_2009" xfId="4725" xr:uid="{00000000-0005-0000-0000-0000AA1C0000}"/>
    <cellStyle name="s_PoundInc (2)_2_Pasta2" xfId="4726" xr:uid="{00000000-0005-0000-0000-0000AB1C0000}"/>
    <cellStyle name="s_PoundInc (2)_Comparativo VP FIN v1_So 2008" xfId="8613" xr:uid="{00000000-0005-0000-0000-0000AC1C0000}"/>
    <cellStyle name="s_PoundInc (2)_Comparativo VP MKT 2008 v1_So 2008" xfId="8614" xr:uid="{00000000-0005-0000-0000-0000AD1C0000}"/>
    <cellStyle name="s_PoundInc (2)_Comparativo VP TEC 2008 v1_So 2008" xfId="8615" xr:uid="{00000000-0005-0000-0000-0000AE1C0000}"/>
    <cellStyle name="s_PoundInc (2)_Comparativo VP TEC 2008_Luiz Sergio" xfId="8616" xr:uid="{00000000-0005-0000-0000-0000AF1C0000}"/>
    <cellStyle name="s_PoundInc (2)_Cópia de Modelo - Fluxo de Caixa Orcamento 09052009_V36_3" xfId="4727" xr:uid="{00000000-0005-0000-0000-0000B01C0000}"/>
    <cellStyle name="s_PoundInc (2)_Fluxo de Caixa Orcamento FINAL_13052009" xfId="4728" xr:uid="{00000000-0005-0000-0000-0000B11C0000}"/>
    <cellStyle name="s_PoundInc (2)_FM_dummyV4" xfId="4729" xr:uid="{00000000-0005-0000-0000-0000B21C0000}"/>
    <cellStyle name="s_PoundInc (2)_lalur" xfId="4730" xr:uid="{00000000-0005-0000-0000-0000B31C0000}"/>
    <cellStyle name="s_PoundInc (2)_Leasing_V3" xfId="4731" xr:uid="{00000000-0005-0000-0000-0000B41C0000}"/>
    <cellStyle name="s_PoundInc (2)_MODELO PDP III" xfId="4732" xr:uid="{00000000-0005-0000-0000-0000B51C0000}"/>
    <cellStyle name="s_PoundInc (2)_ORÇ_2009" xfId="4733" xr:uid="{00000000-0005-0000-0000-0000B61C0000}"/>
    <cellStyle name="s_PoundInc (2)_Pasta2" xfId="4734" xr:uid="{00000000-0005-0000-0000-0000B71C0000}"/>
    <cellStyle name="s_PoundInc_Celtic DCF" xfId="4735" xr:uid="{00000000-0005-0000-0000-0000B81C0000}"/>
    <cellStyle name="s_PoundInc_Celtic DCF Inputs" xfId="4736" xr:uid="{00000000-0005-0000-0000-0000B91C0000}"/>
    <cellStyle name="s_PoundInc_Celtic DCF Inputs_Comparativo VP FIN v1_So 2008" xfId="8617" xr:uid="{00000000-0005-0000-0000-0000BA1C0000}"/>
    <cellStyle name="s_PoundInc_Celtic DCF Inputs_Comparativo VP MKT 2008 v1_So 2008" xfId="8618" xr:uid="{00000000-0005-0000-0000-0000BB1C0000}"/>
    <cellStyle name="s_PoundInc_Celtic DCF Inputs_Comparativo VP TEC 2008 v1_So 2008" xfId="8619" xr:uid="{00000000-0005-0000-0000-0000BC1C0000}"/>
    <cellStyle name="s_PoundInc_Celtic DCF Inputs_Comparativo VP TEC 2008_Luiz Sergio" xfId="8620" xr:uid="{00000000-0005-0000-0000-0000BD1C0000}"/>
    <cellStyle name="s_PoundInc_Celtic DCF Inputs_Cópia de Modelo - Fluxo de Caixa Orcamento 09052009_V36_3" xfId="4737" xr:uid="{00000000-0005-0000-0000-0000BE1C0000}"/>
    <cellStyle name="s_PoundInc_Celtic DCF Inputs_Fluxo de Caixa Orcamento FINAL_13052009" xfId="4738" xr:uid="{00000000-0005-0000-0000-0000BF1C0000}"/>
    <cellStyle name="s_PoundInc_Celtic DCF Inputs_FM_dummyV4" xfId="4739" xr:uid="{00000000-0005-0000-0000-0000C01C0000}"/>
    <cellStyle name="s_PoundInc_Celtic DCF Inputs_lalur" xfId="4740" xr:uid="{00000000-0005-0000-0000-0000C11C0000}"/>
    <cellStyle name="s_PoundInc_Celtic DCF Inputs_Leasing_V3" xfId="4741" xr:uid="{00000000-0005-0000-0000-0000C21C0000}"/>
    <cellStyle name="s_PoundInc_Celtic DCF Inputs_MODELO PDP III" xfId="4742" xr:uid="{00000000-0005-0000-0000-0000C31C0000}"/>
    <cellStyle name="s_PoundInc_Celtic DCF Inputs_ORÇ_2009" xfId="4743" xr:uid="{00000000-0005-0000-0000-0000C41C0000}"/>
    <cellStyle name="s_PoundInc_Celtic DCF Inputs_Pasta2" xfId="4744" xr:uid="{00000000-0005-0000-0000-0000C51C0000}"/>
    <cellStyle name="s_PoundInc_Celtic DCF_Comparativo VP FIN v1_So 2008" xfId="8621" xr:uid="{00000000-0005-0000-0000-0000C61C0000}"/>
    <cellStyle name="s_PoundInc_Celtic DCF_Comparativo VP MKT 2008 v1_So 2008" xfId="8622" xr:uid="{00000000-0005-0000-0000-0000C71C0000}"/>
    <cellStyle name="s_PoundInc_Celtic DCF_Comparativo VP TEC 2008 v1_So 2008" xfId="8623" xr:uid="{00000000-0005-0000-0000-0000C81C0000}"/>
    <cellStyle name="s_PoundInc_Celtic DCF_Comparativo VP TEC 2008_Luiz Sergio" xfId="8624" xr:uid="{00000000-0005-0000-0000-0000C91C0000}"/>
    <cellStyle name="s_PoundInc_Celtic DCF_Cópia de Modelo - Fluxo de Caixa Orcamento 09052009_V36_3" xfId="4745" xr:uid="{00000000-0005-0000-0000-0000CA1C0000}"/>
    <cellStyle name="s_PoundInc_Celtic DCF_Fluxo de Caixa Orcamento FINAL_13052009" xfId="4746" xr:uid="{00000000-0005-0000-0000-0000CB1C0000}"/>
    <cellStyle name="s_PoundInc_Celtic DCF_FM_dummyV4" xfId="4747" xr:uid="{00000000-0005-0000-0000-0000CC1C0000}"/>
    <cellStyle name="s_PoundInc_Celtic DCF_lalur" xfId="4748" xr:uid="{00000000-0005-0000-0000-0000CD1C0000}"/>
    <cellStyle name="s_PoundInc_Celtic DCF_Leasing_V3" xfId="4749" xr:uid="{00000000-0005-0000-0000-0000CE1C0000}"/>
    <cellStyle name="s_PoundInc_Celtic DCF_MODELO PDP III" xfId="4750" xr:uid="{00000000-0005-0000-0000-0000CF1C0000}"/>
    <cellStyle name="s_PoundInc_Celtic DCF_ORÇ_2009" xfId="4751" xr:uid="{00000000-0005-0000-0000-0000D01C0000}"/>
    <cellStyle name="s_PoundInc_Celtic DCF_Pasta2" xfId="4752" xr:uid="{00000000-0005-0000-0000-0000D11C0000}"/>
    <cellStyle name="s_PoundInc_Comparativo VP FIN v1_So 2008" xfId="8625" xr:uid="{00000000-0005-0000-0000-0000D21C0000}"/>
    <cellStyle name="s_PoundInc_Comparativo VP MKT 2008 v1_So 2008" xfId="8626" xr:uid="{00000000-0005-0000-0000-0000D31C0000}"/>
    <cellStyle name="s_PoundInc_Comparativo VP TEC 2008 v1_So 2008" xfId="8627" xr:uid="{00000000-0005-0000-0000-0000D41C0000}"/>
    <cellStyle name="s_PoundInc_Comparativo VP TEC 2008_Luiz Sergio" xfId="8628" xr:uid="{00000000-0005-0000-0000-0000D51C0000}"/>
    <cellStyle name="s_PoundInc_Cópia de Modelo - Fluxo de Caixa Orcamento 09052009_V36_3" xfId="4753" xr:uid="{00000000-0005-0000-0000-0000D61C0000}"/>
    <cellStyle name="s_PoundInc_Fluxo de Caixa Orcamento FINAL_13052009" xfId="4754" xr:uid="{00000000-0005-0000-0000-0000D71C0000}"/>
    <cellStyle name="s_PoundInc_FM_dummyV4" xfId="4755" xr:uid="{00000000-0005-0000-0000-0000D81C0000}"/>
    <cellStyle name="s_PoundInc_lalur" xfId="4756" xr:uid="{00000000-0005-0000-0000-0000D91C0000}"/>
    <cellStyle name="s_PoundInc_Leasing_V3" xfId="4757" xr:uid="{00000000-0005-0000-0000-0000DA1C0000}"/>
    <cellStyle name="s_PoundInc_MODELO PDP III" xfId="4758" xr:uid="{00000000-0005-0000-0000-0000DB1C0000}"/>
    <cellStyle name="s_PoundInc_ORÇ_2009" xfId="4759" xr:uid="{00000000-0005-0000-0000-0000DC1C0000}"/>
    <cellStyle name="s_PoundInc_Pasta2" xfId="4760" xr:uid="{00000000-0005-0000-0000-0000DD1C0000}"/>
    <cellStyle name="s_PoundInc_Valuation Summary" xfId="4761" xr:uid="{00000000-0005-0000-0000-0000DE1C0000}"/>
    <cellStyle name="s_PoundInc_Valuation Summary_Comparativo VP FIN v1_So 2008" xfId="8629" xr:uid="{00000000-0005-0000-0000-0000DF1C0000}"/>
    <cellStyle name="s_PoundInc_Valuation Summary_Comparativo VP MKT 2008 v1_So 2008" xfId="8630" xr:uid="{00000000-0005-0000-0000-0000E01C0000}"/>
    <cellStyle name="s_PoundInc_Valuation Summary_Comparativo VP TEC 2008 v1_So 2008" xfId="8631" xr:uid="{00000000-0005-0000-0000-0000E11C0000}"/>
    <cellStyle name="s_PoundInc_Valuation Summary_Comparativo VP TEC 2008_Luiz Sergio" xfId="8632" xr:uid="{00000000-0005-0000-0000-0000E21C0000}"/>
    <cellStyle name="s_PoundInc_Valuation Summary_Cópia de Modelo - Fluxo de Caixa Orcamento 09052009_V36_3" xfId="4762" xr:uid="{00000000-0005-0000-0000-0000E31C0000}"/>
    <cellStyle name="s_PoundInc_Valuation Summary_Fluxo de Caixa Orcamento FINAL_13052009" xfId="4763" xr:uid="{00000000-0005-0000-0000-0000E41C0000}"/>
    <cellStyle name="s_PoundInc_Valuation Summary_FM_dummyV4" xfId="4764" xr:uid="{00000000-0005-0000-0000-0000E51C0000}"/>
    <cellStyle name="s_PoundInc_Valuation Summary_lalur" xfId="4765" xr:uid="{00000000-0005-0000-0000-0000E61C0000}"/>
    <cellStyle name="s_PoundInc_Valuation Summary_Leasing_V3" xfId="4766" xr:uid="{00000000-0005-0000-0000-0000E71C0000}"/>
    <cellStyle name="s_PoundInc_Valuation Summary_MODELO PDP III" xfId="4767" xr:uid="{00000000-0005-0000-0000-0000E81C0000}"/>
    <cellStyle name="s_PoundInc_Valuation Summary_ORÇ_2009" xfId="4768" xr:uid="{00000000-0005-0000-0000-0000E91C0000}"/>
    <cellStyle name="s_PoundInc_Valuation Summary_Pasta2" xfId="4769" xr:uid="{00000000-0005-0000-0000-0000EA1C0000}"/>
    <cellStyle name="s_Poundstone (2)" xfId="4770" xr:uid="{00000000-0005-0000-0000-0000EB1C0000}"/>
    <cellStyle name="s_Poundstone (2)_1" xfId="4771" xr:uid="{00000000-0005-0000-0000-0000EC1C0000}"/>
    <cellStyle name="s_Poundstone (2)_1_Comparativo VP FIN v1_So 2008" xfId="8633" xr:uid="{00000000-0005-0000-0000-0000ED1C0000}"/>
    <cellStyle name="s_Poundstone (2)_1_Comparativo VP MKT 2008 v1_So 2008" xfId="8634" xr:uid="{00000000-0005-0000-0000-0000EE1C0000}"/>
    <cellStyle name="s_Poundstone (2)_1_Comparativo VP TEC 2008 v1_So 2008" xfId="8635" xr:uid="{00000000-0005-0000-0000-0000EF1C0000}"/>
    <cellStyle name="s_Poundstone (2)_1_Comparativo VP TEC 2008_Luiz Sergio" xfId="8636" xr:uid="{00000000-0005-0000-0000-0000F01C0000}"/>
    <cellStyle name="s_Poundstone (2)_1_Cópia de Modelo - Fluxo de Caixa Orcamento 09052009_V36_3" xfId="4772" xr:uid="{00000000-0005-0000-0000-0000F11C0000}"/>
    <cellStyle name="s_Poundstone (2)_1_Fluxo de Caixa Orcamento FINAL_13052009" xfId="4773" xr:uid="{00000000-0005-0000-0000-0000F21C0000}"/>
    <cellStyle name="s_Poundstone (2)_1_FM_dummyV4" xfId="4774" xr:uid="{00000000-0005-0000-0000-0000F31C0000}"/>
    <cellStyle name="s_Poundstone (2)_1_lalur" xfId="4775" xr:uid="{00000000-0005-0000-0000-0000F41C0000}"/>
    <cellStyle name="s_Poundstone (2)_1_Leasing_V3" xfId="4776" xr:uid="{00000000-0005-0000-0000-0000F51C0000}"/>
    <cellStyle name="s_Poundstone (2)_1_MODELO PDP III" xfId="4777" xr:uid="{00000000-0005-0000-0000-0000F61C0000}"/>
    <cellStyle name="s_Poundstone (2)_1_ORÇ_2009" xfId="4778" xr:uid="{00000000-0005-0000-0000-0000F71C0000}"/>
    <cellStyle name="s_Poundstone (2)_1_Pasta2" xfId="4779" xr:uid="{00000000-0005-0000-0000-0000F81C0000}"/>
    <cellStyle name="s_Poundstone (2)_2" xfId="4780" xr:uid="{00000000-0005-0000-0000-0000F91C0000}"/>
    <cellStyle name="s_Poundstone (2)_2_Comparativo VP FIN v1_So 2008" xfId="8637" xr:uid="{00000000-0005-0000-0000-0000FA1C0000}"/>
    <cellStyle name="s_Poundstone (2)_2_Comparativo VP MKT 2008 v1_So 2008" xfId="8638" xr:uid="{00000000-0005-0000-0000-0000FB1C0000}"/>
    <cellStyle name="s_Poundstone (2)_2_Comparativo VP TEC 2008 v1_So 2008" xfId="8639" xr:uid="{00000000-0005-0000-0000-0000FC1C0000}"/>
    <cellStyle name="s_Poundstone (2)_2_Comparativo VP TEC 2008_Luiz Sergio" xfId="8640" xr:uid="{00000000-0005-0000-0000-0000FD1C0000}"/>
    <cellStyle name="s_Poundstone (2)_2_Cópia de Modelo - Fluxo de Caixa Orcamento 09052009_V36_3" xfId="4781" xr:uid="{00000000-0005-0000-0000-0000FE1C0000}"/>
    <cellStyle name="s_Poundstone (2)_2_Fluxo de Caixa Orcamento FINAL_13052009" xfId="4782" xr:uid="{00000000-0005-0000-0000-0000FF1C0000}"/>
    <cellStyle name="s_Poundstone (2)_2_FM_dummyV4" xfId="4783" xr:uid="{00000000-0005-0000-0000-0000001D0000}"/>
    <cellStyle name="s_Poundstone (2)_2_lalur" xfId="4784" xr:uid="{00000000-0005-0000-0000-0000011D0000}"/>
    <cellStyle name="s_Poundstone (2)_2_Leasing_V3" xfId="4785" xr:uid="{00000000-0005-0000-0000-0000021D0000}"/>
    <cellStyle name="s_Poundstone (2)_2_MODELO PDP III" xfId="4786" xr:uid="{00000000-0005-0000-0000-0000031D0000}"/>
    <cellStyle name="s_Poundstone (2)_2_ORÇ_2009" xfId="4787" xr:uid="{00000000-0005-0000-0000-0000041D0000}"/>
    <cellStyle name="s_Poundstone (2)_2_Pasta2" xfId="4788" xr:uid="{00000000-0005-0000-0000-0000051D0000}"/>
    <cellStyle name="s_Poundstone (2)_Celtic DCF" xfId="4789" xr:uid="{00000000-0005-0000-0000-0000061D0000}"/>
    <cellStyle name="s_Poundstone (2)_Celtic DCF Inputs" xfId="4790" xr:uid="{00000000-0005-0000-0000-0000071D0000}"/>
    <cellStyle name="s_Poundstone (2)_Celtic DCF Inputs_Comparativo VP FIN v1_So 2008" xfId="8641" xr:uid="{00000000-0005-0000-0000-0000081D0000}"/>
    <cellStyle name="s_Poundstone (2)_Celtic DCF Inputs_Comparativo VP MKT 2008 v1_So 2008" xfId="8642" xr:uid="{00000000-0005-0000-0000-0000091D0000}"/>
    <cellStyle name="s_Poundstone (2)_Celtic DCF Inputs_Comparativo VP TEC 2008 v1_So 2008" xfId="8643" xr:uid="{00000000-0005-0000-0000-00000A1D0000}"/>
    <cellStyle name="s_Poundstone (2)_Celtic DCF Inputs_Comparativo VP TEC 2008_Luiz Sergio" xfId="8644" xr:uid="{00000000-0005-0000-0000-00000B1D0000}"/>
    <cellStyle name="s_Poundstone (2)_Celtic DCF Inputs_Cópia de Modelo - Fluxo de Caixa Orcamento 09052009_V36_3" xfId="4791" xr:uid="{00000000-0005-0000-0000-00000C1D0000}"/>
    <cellStyle name="s_Poundstone (2)_Celtic DCF Inputs_Fluxo de Caixa Orcamento FINAL_13052009" xfId="4792" xr:uid="{00000000-0005-0000-0000-00000D1D0000}"/>
    <cellStyle name="s_Poundstone (2)_Celtic DCF Inputs_FM_dummyV4" xfId="4793" xr:uid="{00000000-0005-0000-0000-00000E1D0000}"/>
    <cellStyle name="s_Poundstone (2)_Celtic DCF Inputs_lalur" xfId="4794" xr:uid="{00000000-0005-0000-0000-00000F1D0000}"/>
    <cellStyle name="s_Poundstone (2)_Celtic DCF Inputs_Leasing_V3" xfId="4795" xr:uid="{00000000-0005-0000-0000-0000101D0000}"/>
    <cellStyle name="s_Poundstone (2)_Celtic DCF Inputs_MODELO PDP III" xfId="4796" xr:uid="{00000000-0005-0000-0000-0000111D0000}"/>
    <cellStyle name="s_Poundstone (2)_Celtic DCF Inputs_ORÇ_2009" xfId="4797" xr:uid="{00000000-0005-0000-0000-0000121D0000}"/>
    <cellStyle name="s_Poundstone (2)_Celtic DCF Inputs_Pasta2" xfId="4798" xr:uid="{00000000-0005-0000-0000-0000131D0000}"/>
    <cellStyle name="s_Poundstone (2)_Celtic DCF_Comparativo VP FIN v1_So 2008" xfId="8645" xr:uid="{00000000-0005-0000-0000-0000141D0000}"/>
    <cellStyle name="s_Poundstone (2)_Celtic DCF_Comparativo VP MKT 2008 v1_So 2008" xfId="8646" xr:uid="{00000000-0005-0000-0000-0000151D0000}"/>
    <cellStyle name="s_Poundstone (2)_Celtic DCF_Comparativo VP TEC 2008 v1_So 2008" xfId="8647" xr:uid="{00000000-0005-0000-0000-0000161D0000}"/>
    <cellStyle name="s_Poundstone (2)_Celtic DCF_Comparativo VP TEC 2008_Luiz Sergio" xfId="8648" xr:uid="{00000000-0005-0000-0000-0000171D0000}"/>
    <cellStyle name="s_Poundstone (2)_Celtic DCF_Cópia de Modelo - Fluxo de Caixa Orcamento 09052009_V36_3" xfId="4799" xr:uid="{00000000-0005-0000-0000-0000181D0000}"/>
    <cellStyle name="s_Poundstone (2)_Celtic DCF_Fluxo de Caixa Orcamento FINAL_13052009" xfId="4800" xr:uid="{00000000-0005-0000-0000-0000191D0000}"/>
    <cellStyle name="s_Poundstone (2)_Celtic DCF_FM_dummyV4" xfId="4801" xr:uid="{00000000-0005-0000-0000-00001A1D0000}"/>
    <cellStyle name="s_Poundstone (2)_Celtic DCF_lalur" xfId="4802" xr:uid="{00000000-0005-0000-0000-00001B1D0000}"/>
    <cellStyle name="s_Poundstone (2)_Celtic DCF_Leasing_V3" xfId="4803" xr:uid="{00000000-0005-0000-0000-00001C1D0000}"/>
    <cellStyle name="s_Poundstone (2)_Celtic DCF_MODELO PDP III" xfId="4804" xr:uid="{00000000-0005-0000-0000-00001D1D0000}"/>
    <cellStyle name="s_Poundstone (2)_Celtic DCF_ORÇ_2009" xfId="4805" xr:uid="{00000000-0005-0000-0000-00001E1D0000}"/>
    <cellStyle name="s_Poundstone (2)_Celtic DCF_Pasta2" xfId="4806" xr:uid="{00000000-0005-0000-0000-00001F1D0000}"/>
    <cellStyle name="s_Poundstone (2)_Comparativo VP FIN v1_So 2008" xfId="8649" xr:uid="{00000000-0005-0000-0000-0000201D0000}"/>
    <cellStyle name="s_Poundstone (2)_Comparativo VP MKT 2008 v1_So 2008" xfId="8650" xr:uid="{00000000-0005-0000-0000-0000211D0000}"/>
    <cellStyle name="s_Poundstone (2)_Comparativo VP TEC 2008 v1_So 2008" xfId="8651" xr:uid="{00000000-0005-0000-0000-0000221D0000}"/>
    <cellStyle name="s_Poundstone (2)_Comparativo VP TEC 2008_Luiz Sergio" xfId="8652" xr:uid="{00000000-0005-0000-0000-0000231D0000}"/>
    <cellStyle name="s_Poundstone (2)_Cópia de Modelo - Fluxo de Caixa Orcamento 09052009_V36_3" xfId="4807" xr:uid="{00000000-0005-0000-0000-0000241D0000}"/>
    <cellStyle name="s_Poundstone (2)_Fluxo de Caixa Orcamento FINAL_13052009" xfId="4808" xr:uid="{00000000-0005-0000-0000-0000251D0000}"/>
    <cellStyle name="s_Poundstone (2)_FM_dummyV4" xfId="4809" xr:uid="{00000000-0005-0000-0000-0000261D0000}"/>
    <cellStyle name="s_Poundstone (2)_lalur" xfId="4810" xr:uid="{00000000-0005-0000-0000-0000271D0000}"/>
    <cellStyle name="s_Poundstone (2)_Leasing_V3" xfId="4811" xr:uid="{00000000-0005-0000-0000-0000281D0000}"/>
    <cellStyle name="s_Poundstone (2)_MODELO PDP III" xfId="4812" xr:uid="{00000000-0005-0000-0000-0000291D0000}"/>
    <cellStyle name="s_Poundstone (2)_ORÇ_2009" xfId="4813" xr:uid="{00000000-0005-0000-0000-00002A1D0000}"/>
    <cellStyle name="s_Poundstone (2)_Pasta2" xfId="4814" xr:uid="{00000000-0005-0000-0000-00002B1D0000}"/>
    <cellStyle name="s_Poundstone (2)_Valuation Summary" xfId="4815" xr:uid="{00000000-0005-0000-0000-00002C1D0000}"/>
    <cellStyle name="s_Poundstone (2)_Valuation Summary_Comparativo VP FIN v1_So 2008" xfId="8653" xr:uid="{00000000-0005-0000-0000-00002D1D0000}"/>
    <cellStyle name="s_Poundstone (2)_Valuation Summary_Comparativo VP MKT 2008 v1_So 2008" xfId="8654" xr:uid="{00000000-0005-0000-0000-00002E1D0000}"/>
    <cellStyle name="s_Poundstone (2)_Valuation Summary_Comparativo VP TEC 2008 v1_So 2008" xfId="8655" xr:uid="{00000000-0005-0000-0000-00002F1D0000}"/>
    <cellStyle name="s_Poundstone (2)_Valuation Summary_Comparativo VP TEC 2008_Luiz Sergio" xfId="8656" xr:uid="{00000000-0005-0000-0000-0000301D0000}"/>
    <cellStyle name="s_Poundstone (2)_Valuation Summary_Cópia de Modelo - Fluxo de Caixa Orcamento 09052009_V36_3" xfId="4816" xr:uid="{00000000-0005-0000-0000-0000311D0000}"/>
    <cellStyle name="s_Poundstone (2)_Valuation Summary_Fluxo de Caixa Orcamento FINAL_13052009" xfId="4817" xr:uid="{00000000-0005-0000-0000-0000321D0000}"/>
    <cellStyle name="s_Poundstone (2)_Valuation Summary_FM_dummyV4" xfId="4818" xr:uid="{00000000-0005-0000-0000-0000331D0000}"/>
    <cellStyle name="s_Poundstone (2)_Valuation Summary_lalur" xfId="4819" xr:uid="{00000000-0005-0000-0000-0000341D0000}"/>
    <cellStyle name="s_Poundstone (2)_Valuation Summary_Leasing_V3" xfId="4820" xr:uid="{00000000-0005-0000-0000-0000351D0000}"/>
    <cellStyle name="s_Poundstone (2)_Valuation Summary_MODELO PDP III" xfId="4821" xr:uid="{00000000-0005-0000-0000-0000361D0000}"/>
    <cellStyle name="s_Poundstone (2)_Valuation Summary_ORÇ_2009" xfId="4822" xr:uid="{00000000-0005-0000-0000-0000371D0000}"/>
    <cellStyle name="s_Poundstone (2)_Valuation Summary_Pasta2" xfId="4823" xr:uid="{00000000-0005-0000-0000-0000381D0000}"/>
    <cellStyle name="s_Preliminary Poundstone (2)" xfId="4824" xr:uid="{00000000-0005-0000-0000-0000391D0000}"/>
    <cellStyle name="s_Preliminary Poundstone (2)_1" xfId="4825" xr:uid="{00000000-0005-0000-0000-00003A1D0000}"/>
    <cellStyle name="s_Preliminary Poundstone (2)_1_Comparativo VP FIN v1_So 2008" xfId="8657" xr:uid="{00000000-0005-0000-0000-00003B1D0000}"/>
    <cellStyle name="s_Preliminary Poundstone (2)_1_Comparativo VP MKT 2008 v1_So 2008" xfId="8658" xr:uid="{00000000-0005-0000-0000-00003C1D0000}"/>
    <cellStyle name="s_Preliminary Poundstone (2)_1_Comparativo VP TEC 2008 v1_So 2008" xfId="8659" xr:uid="{00000000-0005-0000-0000-00003D1D0000}"/>
    <cellStyle name="s_Preliminary Poundstone (2)_1_Comparativo VP TEC 2008_Luiz Sergio" xfId="8660" xr:uid="{00000000-0005-0000-0000-00003E1D0000}"/>
    <cellStyle name="s_Preliminary Poundstone (2)_1_Cópia de Modelo - Fluxo de Caixa Orcamento 09052009_V36_3" xfId="4826" xr:uid="{00000000-0005-0000-0000-00003F1D0000}"/>
    <cellStyle name="s_Preliminary Poundstone (2)_1_Fluxo de Caixa Orcamento FINAL_13052009" xfId="4827" xr:uid="{00000000-0005-0000-0000-0000401D0000}"/>
    <cellStyle name="s_Preliminary Poundstone (2)_1_FM_dummyV4" xfId="4828" xr:uid="{00000000-0005-0000-0000-0000411D0000}"/>
    <cellStyle name="s_Preliminary Poundstone (2)_1_lalur" xfId="4829" xr:uid="{00000000-0005-0000-0000-0000421D0000}"/>
    <cellStyle name="s_Preliminary Poundstone (2)_1_Leasing_V3" xfId="4830" xr:uid="{00000000-0005-0000-0000-0000431D0000}"/>
    <cellStyle name="s_Preliminary Poundstone (2)_1_MODELO PDP III" xfId="4831" xr:uid="{00000000-0005-0000-0000-0000441D0000}"/>
    <cellStyle name="s_Preliminary Poundstone (2)_1_ORÇ_2009" xfId="4832" xr:uid="{00000000-0005-0000-0000-0000451D0000}"/>
    <cellStyle name="s_Preliminary Poundstone (2)_1_Pasta2" xfId="4833" xr:uid="{00000000-0005-0000-0000-0000461D0000}"/>
    <cellStyle name="s_Preliminary Poundstone (2)_Comparativo VP FIN v1_So 2008" xfId="8661" xr:uid="{00000000-0005-0000-0000-0000471D0000}"/>
    <cellStyle name="s_Preliminary Poundstone (2)_Comparativo VP MKT 2008 v1_So 2008" xfId="8662" xr:uid="{00000000-0005-0000-0000-0000481D0000}"/>
    <cellStyle name="s_Preliminary Poundstone (2)_Comparativo VP TEC 2008 v1_So 2008" xfId="8663" xr:uid="{00000000-0005-0000-0000-0000491D0000}"/>
    <cellStyle name="s_Preliminary Poundstone (2)_Comparativo VP TEC 2008_Luiz Sergio" xfId="8664" xr:uid="{00000000-0005-0000-0000-00004A1D0000}"/>
    <cellStyle name="s_Preliminary Poundstone (2)_Cópia de Modelo - Fluxo de Caixa Orcamento 09052009_V36_3" xfId="4834" xr:uid="{00000000-0005-0000-0000-00004B1D0000}"/>
    <cellStyle name="s_Preliminary Poundstone (2)_Fluxo de Caixa Orcamento FINAL_13052009" xfId="4835" xr:uid="{00000000-0005-0000-0000-00004C1D0000}"/>
    <cellStyle name="s_Preliminary Poundstone (2)_FM_dummyV4" xfId="4836" xr:uid="{00000000-0005-0000-0000-00004D1D0000}"/>
    <cellStyle name="s_Preliminary Poundstone (2)_lalur" xfId="4837" xr:uid="{00000000-0005-0000-0000-00004E1D0000}"/>
    <cellStyle name="s_Preliminary Poundstone (2)_Leasing_V3" xfId="4838" xr:uid="{00000000-0005-0000-0000-00004F1D0000}"/>
    <cellStyle name="s_Preliminary Poundstone (2)_MODELO PDP III" xfId="4839" xr:uid="{00000000-0005-0000-0000-0000501D0000}"/>
    <cellStyle name="s_Preliminary Poundstone (2)_ORÇ_2009" xfId="4840" xr:uid="{00000000-0005-0000-0000-0000511D0000}"/>
    <cellStyle name="s_Preliminary Poundstone (2)_Pasta2" xfId="4841" xr:uid="{00000000-0005-0000-0000-0000521D0000}"/>
    <cellStyle name="s_Proj Graph" xfId="4842" xr:uid="{00000000-0005-0000-0000-0000531D0000}"/>
    <cellStyle name="s_Proj Graph_1" xfId="4843" xr:uid="{00000000-0005-0000-0000-0000541D0000}"/>
    <cellStyle name="s_Proj Graph_1_Comparativo VP FIN v1_So 2008" xfId="8665" xr:uid="{00000000-0005-0000-0000-0000551D0000}"/>
    <cellStyle name="s_Proj Graph_1_Comparativo VP MKT 2008 v1_So 2008" xfId="8666" xr:uid="{00000000-0005-0000-0000-0000561D0000}"/>
    <cellStyle name="s_Proj Graph_1_Comparativo VP TEC 2008 v1_So 2008" xfId="8667" xr:uid="{00000000-0005-0000-0000-0000571D0000}"/>
    <cellStyle name="s_Proj Graph_1_Comparativo VP TEC 2008_Luiz Sergio" xfId="8668" xr:uid="{00000000-0005-0000-0000-0000581D0000}"/>
    <cellStyle name="s_Proj Graph_1_Cópia de Modelo - Fluxo de Caixa Orcamento 09052009_V36_3" xfId="4844" xr:uid="{00000000-0005-0000-0000-0000591D0000}"/>
    <cellStyle name="s_Proj Graph_1_Fluxo de Caixa Orcamento FINAL_13052009" xfId="4845" xr:uid="{00000000-0005-0000-0000-00005A1D0000}"/>
    <cellStyle name="s_Proj Graph_1_FM_dummyV4" xfId="4846" xr:uid="{00000000-0005-0000-0000-00005B1D0000}"/>
    <cellStyle name="s_Proj Graph_1_lalur" xfId="4847" xr:uid="{00000000-0005-0000-0000-00005C1D0000}"/>
    <cellStyle name="s_Proj Graph_1_Leasing_V3" xfId="4848" xr:uid="{00000000-0005-0000-0000-00005D1D0000}"/>
    <cellStyle name="s_Proj Graph_1_MODELO PDP III" xfId="4849" xr:uid="{00000000-0005-0000-0000-00005E1D0000}"/>
    <cellStyle name="s_Proj Graph_1_ORÇ_2009" xfId="4850" xr:uid="{00000000-0005-0000-0000-00005F1D0000}"/>
    <cellStyle name="s_Proj Graph_1_Pasta2" xfId="4851" xr:uid="{00000000-0005-0000-0000-0000601D0000}"/>
    <cellStyle name="s_Proj Graph_2" xfId="4852" xr:uid="{00000000-0005-0000-0000-0000611D0000}"/>
    <cellStyle name="s_Proj Graph_2_Comparativo VP FIN v1_So 2008" xfId="8669" xr:uid="{00000000-0005-0000-0000-0000621D0000}"/>
    <cellStyle name="s_Proj Graph_2_Comparativo VP MKT 2008 v1_So 2008" xfId="8670" xr:uid="{00000000-0005-0000-0000-0000631D0000}"/>
    <cellStyle name="s_Proj Graph_2_Comparativo VP TEC 2008 v1_So 2008" xfId="8671" xr:uid="{00000000-0005-0000-0000-0000641D0000}"/>
    <cellStyle name="s_Proj Graph_2_Comparativo VP TEC 2008_Luiz Sergio" xfId="8672" xr:uid="{00000000-0005-0000-0000-0000651D0000}"/>
    <cellStyle name="s_Proj Graph_2_Cópia de Modelo - Fluxo de Caixa Orcamento 09052009_V36_3" xfId="4853" xr:uid="{00000000-0005-0000-0000-0000661D0000}"/>
    <cellStyle name="s_Proj Graph_2_Fluxo de Caixa Orcamento FINAL_13052009" xfId="4854" xr:uid="{00000000-0005-0000-0000-0000671D0000}"/>
    <cellStyle name="s_Proj Graph_2_FM_dummyV4" xfId="4855" xr:uid="{00000000-0005-0000-0000-0000681D0000}"/>
    <cellStyle name="s_Proj Graph_2_lalur" xfId="4856" xr:uid="{00000000-0005-0000-0000-0000691D0000}"/>
    <cellStyle name="s_Proj Graph_2_Leasing_V3" xfId="4857" xr:uid="{00000000-0005-0000-0000-00006A1D0000}"/>
    <cellStyle name="s_Proj Graph_2_MODELO PDP III" xfId="4858" xr:uid="{00000000-0005-0000-0000-00006B1D0000}"/>
    <cellStyle name="s_Proj Graph_2_ORÇ_2009" xfId="4859" xr:uid="{00000000-0005-0000-0000-00006C1D0000}"/>
    <cellStyle name="s_Proj Graph_2_Pasta2" xfId="4860" xr:uid="{00000000-0005-0000-0000-00006D1D0000}"/>
    <cellStyle name="s_Proj Graph_Comparativo VP FIN v1_So 2008" xfId="8673" xr:uid="{00000000-0005-0000-0000-00006E1D0000}"/>
    <cellStyle name="s_Proj Graph_Comparativo VP MKT 2008 v1_So 2008" xfId="8674" xr:uid="{00000000-0005-0000-0000-00006F1D0000}"/>
    <cellStyle name="s_Proj Graph_Comparativo VP TEC 2008 v1_So 2008" xfId="8675" xr:uid="{00000000-0005-0000-0000-0000701D0000}"/>
    <cellStyle name="s_Proj Graph_Comparativo VP TEC 2008_Luiz Sergio" xfId="8676" xr:uid="{00000000-0005-0000-0000-0000711D0000}"/>
    <cellStyle name="s_Proj Graph_Cópia de Modelo - Fluxo de Caixa Orcamento 09052009_V36_3" xfId="4861" xr:uid="{00000000-0005-0000-0000-0000721D0000}"/>
    <cellStyle name="s_Proj Graph_Fluxo de Caixa Orcamento FINAL_13052009" xfId="4862" xr:uid="{00000000-0005-0000-0000-0000731D0000}"/>
    <cellStyle name="s_Proj Graph_FM_dummyV4" xfId="4863" xr:uid="{00000000-0005-0000-0000-0000741D0000}"/>
    <cellStyle name="s_Proj Graph_lalur" xfId="4864" xr:uid="{00000000-0005-0000-0000-0000751D0000}"/>
    <cellStyle name="s_Proj Graph_Leasing_V3" xfId="4865" xr:uid="{00000000-0005-0000-0000-0000761D0000}"/>
    <cellStyle name="s_Proj Graph_MODELO PDP III" xfId="4866" xr:uid="{00000000-0005-0000-0000-0000771D0000}"/>
    <cellStyle name="s_Proj Graph_ORÇ_2009" xfId="4867" xr:uid="{00000000-0005-0000-0000-0000781D0000}"/>
    <cellStyle name="s_Proj Graph_Pasta2" xfId="4868" xr:uid="{00000000-0005-0000-0000-0000791D0000}"/>
    <cellStyle name="s_Q2 pipeline" xfId="4869" xr:uid="{00000000-0005-0000-0000-00007A1D0000}"/>
    <cellStyle name="s_Resultados mensais - Arquivo base maio 2010" xfId="8677" xr:uid="{00000000-0005-0000-0000-00007B1D0000}"/>
    <cellStyle name="s_Resultados mensais - Arquivo base maio 2010_Base ITR Set-10 - Ajustes Resmat" xfId="8678" xr:uid="{00000000-0005-0000-0000-00007C1D0000}"/>
    <cellStyle name="s_REVISE24" xfId="4870" xr:uid="{00000000-0005-0000-0000-00007D1D0000}"/>
    <cellStyle name="s_REVISE24_Comparativo VP FIN v1_So 2008" xfId="8679" xr:uid="{00000000-0005-0000-0000-00007E1D0000}"/>
    <cellStyle name="s_REVISE24_Comparativo VP MKT 2008 v1_So 2008" xfId="8680" xr:uid="{00000000-0005-0000-0000-00007F1D0000}"/>
    <cellStyle name="s_REVISE24_Comparativo VP TEC 2008 v1_So 2008" xfId="8681" xr:uid="{00000000-0005-0000-0000-0000801D0000}"/>
    <cellStyle name="s_REVISE24_Comparativo VP TEC 2008_Luiz Sergio" xfId="8682" xr:uid="{00000000-0005-0000-0000-0000811D0000}"/>
    <cellStyle name="s_REVISE24_Cópia de Modelo - Fluxo de Caixa Orcamento 09052009_V36_3" xfId="4871" xr:uid="{00000000-0005-0000-0000-0000821D0000}"/>
    <cellStyle name="s_REVISE24_Fluxo de Caixa Orcamento FINAL_13052009" xfId="4872" xr:uid="{00000000-0005-0000-0000-0000831D0000}"/>
    <cellStyle name="s_REVISE24_FM_dummyV4" xfId="4873" xr:uid="{00000000-0005-0000-0000-0000841D0000}"/>
    <cellStyle name="s_REVISE24_lalur" xfId="4874" xr:uid="{00000000-0005-0000-0000-0000851D0000}"/>
    <cellStyle name="s_REVISE24_Leasing_V3" xfId="4875" xr:uid="{00000000-0005-0000-0000-0000861D0000}"/>
    <cellStyle name="s_REVISE24_MODELO PDP III" xfId="4876" xr:uid="{00000000-0005-0000-0000-0000871D0000}"/>
    <cellStyle name="s_REVISE24_ORÇ_2009" xfId="4877" xr:uid="{00000000-0005-0000-0000-0000881D0000}"/>
    <cellStyle name="s_REVISE24_Pasta2" xfId="4878" xr:uid="{00000000-0005-0000-0000-0000891D0000}"/>
    <cellStyle name="s_Rolex-Timex" xfId="4879" xr:uid="{00000000-0005-0000-0000-00008A1D0000}"/>
    <cellStyle name="s_Rolex-Timex_1" xfId="4880" xr:uid="{00000000-0005-0000-0000-00008B1D0000}"/>
    <cellStyle name="s_Rolex-Timex_1_Comparativo VP FIN v1_So 2008" xfId="8683" xr:uid="{00000000-0005-0000-0000-00008C1D0000}"/>
    <cellStyle name="s_Rolex-Timex_1_Comparativo VP MKT 2008 v1_So 2008" xfId="8684" xr:uid="{00000000-0005-0000-0000-00008D1D0000}"/>
    <cellStyle name="s_Rolex-Timex_1_Comparativo VP TEC 2008 v1_So 2008" xfId="8685" xr:uid="{00000000-0005-0000-0000-00008E1D0000}"/>
    <cellStyle name="s_Rolex-Timex_1_Comparativo VP TEC 2008_Luiz Sergio" xfId="8686" xr:uid="{00000000-0005-0000-0000-00008F1D0000}"/>
    <cellStyle name="s_Rolex-Timex_1_Cópia de Modelo - Fluxo de Caixa Orcamento 09052009_V36_3" xfId="4881" xr:uid="{00000000-0005-0000-0000-0000901D0000}"/>
    <cellStyle name="s_Rolex-Timex_1_Fluxo de Caixa Orcamento FINAL_13052009" xfId="4882" xr:uid="{00000000-0005-0000-0000-0000911D0000}"/>
    <cellStyle name="s_Rolex-Timex_1_FM_dummyV4" xfId="4883" xr:uid="{00000000-0005-0000-0000-0000921D0000}"/>
    <cellStyle name="s_Rolex-Timex_1_lalur" xfId="4884" xr:uid="{00000000-0005-0000-0000-0000931D0000}"/>
    <cellStyle name="s_Rolex-Timex_1_Leasing_V3" xfId="4885" xr:uid="{00000000-0005-0000-0000-0000941D0000}"/>
    <cellStyle name="s_Rolex-Timex_1_MODELO PDP III" xfId="4886" xr:uid="{00000000-0005-0000-0000-0000951D0000}"/>
    <cellStyle name="s_Rolex-Timex_1_ORÇ_2009" xfId="4887" xr:uid="{00000000-0005-0000-0000-0000961D0000}"/>
    <cellStyle name="s_Rolex-Timex_1_Pasta2" xfId="4888" xr:uid="{00000000-0005-0000-0000-0000971D0000}"/>
    <cellStyle name="s_Rolex-Timex_Comparativo VP FIN v1_So 2008" xfId="8687" xr:uid="{00000000-0005-0000-0000-0000981D0000}"/>
    <cellStyle name="s_Rolex-Timex_Comparativo VP MKT 2008 v1_So 2008" xfId="8688" xr:uid="{00000000-0005-0000-0000-0000991D0000}"/>
    <cellStyle name="s_Rolex-Timex_Comparativo VP TEC 2008 v1_So 2008" xfId="8689" xr:uid="{00000000-0005-0000-0000-00009A1D0000}"/>
    <cellStyle name="s_Rolex-Timex_Comparativo VP TEC 2008_Luiz Sergio" xfId="8690" xr:uid="{00000000-0005-0000-0000-00009B1D0000}"/>
    <cellStyle name="s_Rolex-Timex_Cópia de Modelo - Fluxo de Caixa Orcamento 09052009_V36_3" xfId="4889" xr:uid="{00000000-0005-0000-0000-00009C1D0000}"/>
    <cellStyle name="s_Rolex-Timex_Fluxo de Caixa Orcamento FINAL_13052009" xfId="4890" xr:uid="{00000000-0005-0000-0000-00009D1D0000}"/>
    <cellStyle name="s_Rolex-Timex_FM_dummyV4" xfId="4891" xr:uid="{00000000-0005-0000-0000-00009E1D0000}"/>
    <cellStyle name="s_Rolex-Timex_lalur" xfId="4892" xr:uid="{00000000-0005-0000-0000-00009F1D0000}"/>
    <cellStyle name="s_Rolex-Timex_Leasing_V3" xfId="4893" xr:uid="{00000000-0005-0000-0000-0000A01D0000}"/>
    <cellStyle name="s_Rolex-Timex_MODELO PDP III" xfId="4894" xr:uid="{00000000-0005-0000-0000-0000A11D0000}"/>
    <cellStyle name="s_Rolex-Timex_ORÇ_2009" xfId="4895" xr:uid="{00000000-0005-0000-0000-0000A21D0000}"/>
    <cellStyle name="s_Rolex-Timex_Pasta2" xfId="4896" xr:uid="{00000000-0005-0000-0000-0000A31D0000}"/>
    <cellStyle name="s_RushValSum (2)" xfId="4897" xr:uid="{00000000-0005-0000-0000-0000A41D0000}"/>
    <cellStyle name="s_RushValSum (2)_1" xfId="4898" xr:uid="{00000000-0005-0000-0000-0000A51D0000}"/>
    <cellStyle name="s_RushValSum (2)_1_Comparativo VP FIN v1_So 2008" xfId="8691" xr:uid="{00000000-0005-0000-0000-0000A61D0000}"/>
    <cellStyle name="s_RushValSum (2)_1_Comparativo VP MKT 2008 v1_So 2008" xfId="8692" xr:uid="{00000000-0005-0000-0000-0000A71D0000}"/>
    <cellStyle name="s_RushValSum (2)_1_Comparativo VP TEC 2008 v1_So 2008" xfId="8693" xr:uid="{00000000-0005-0000-0000-0000A81D0000}"/>
    <cellStyle name="s_RushValSum (2)_1_Comparativo VP TEC 2008_Luiz Sergio" xfId="8694" xr:uid="{00000000-0005-0000-0000-0000A91D0000}"/>
    <cellStyle name="s_RushValSum (2)_1_Cópia de Modelo - Fluxo de Caixa Orcamento 09052009_V36_3" xfId="4899" xr:uid="{00000000-0005-0000-0000-0000AA1D0000}"/>
    <cellStyle name="s_RushValSum (2)_1_Fluxo de Caixa Orcamento FINAL_13052009" xfId="4900" xr:uid="{00000000-0005-0000-0000-0000AB1D0000}"/>
    <cellStyle name="s_RushValSum (2)_1_FM_dummyV4" xfId="4901" xr:uid="{00000000-0005-0000-0000-0000AC1D0000}"/>
    <cellStyle name="s_RushValSum (2)_1_lalur" xfId="4902" xr:uid="{00000000-0005-0000-0000-0000AD1D0000}"/>
    <cellStyle name="s_RushValSum (2)_1_Leasing_V3" xfId="4903" xr:uid="{00000000-0005-0000-0000-0000AE1D0000}"/>
    <cellStyle name="s_RushValSum (2)_1_MODELO PDP III" xfId="4904" xr:uid="{00000000-0005-0000-0000-0000AF1D0000}"/>
    <cellStyle name="s_RushValSum (2)_1_ORÇ_2009" xfId="4905" xr:uid="{00000000-0005-0000-0000-0000B01D0000}"/>
    <cellStyle name="s_RushValSum (2)_1_Pasta2" xfId="4906" xr:uid="{00000000-0005-0000-0000-0000B11D0000}"/>
    <cellStyle name="s_RushValSum (2)_2" xfId="4907" xr:uid="{00000000-0005-0000-0000-0000B21D0000}"/>
    <cellStyle name="s_RushValSum (2)_2_Comparativo VP FIN v1_So 2008" xfId="8695" xr:uid="{00000000-0005-0000-0000-0000B31D0000}"/>
    <cellStyle name="s_RushValSum (2)_2_Comparativo VP MKT 2008 v1_So 2008" xfId="8696" xr:uid="{00000000-0005-0000-0000-0000B41D0000}"/>
    <cellStyle name="s_RushValSum (2)_2_Comparativo VP TEC 2008 v1_So 2008" xfId="8697" xr:uid="{00000000-0005-0000-0000-0000B51D0000}"/>
    <cellStyle name="s_RushValSum (2)_2_Comparativo VP TEC 2008_Luiz Sergio" xfId="8698" xr:uid="{00000000-0005-0000-0000-0000B61D0000}"/>
    <cellStyle name="s_RushValSum (2)_2_Cópia de Modelo - Fluxo de Caixa Orcamento 09052009_V36_3" xfId="4908" xr:uid="{00000000-0005-0000-0000-0000B71D0000}"/>
    <cellStyle name="s_RushValSum (2)_2_Fluxo de Caixa Orcamento FINAL_13052009" xfId="4909" xr:uid="{00000000-0005-0000-0000-0000B81D0000}"/>
    <cellStyle name="s_RushValSum (2)_2_FM_dummyV4" xfId="4910" xr:uid="{00000000-0005-0000-0000-0000B91D0000}"/>
    <cellStyle name="s_RushValSum (2)_2_lalur" xfId="4911" xr:uid="{00000000-0005-0000-0000-0000BA1D0000}"/>
    <cellStyle name="s_RushValSum (2)_2_Leasing_V3" xfId="4912" xr:uid="{00000000-0005-0000-0000-0000BB1D0000}"/>
    <cellStyle name="s_RushValSum (2)_2_MODELO PDP III" xfId="4913" xr:uid="{00000000-0005-0000-0000-0000BC1D0000}"/>
    <cellStyle name="s_RushValSum (2)_2_ORÇ_2009" xfId="4914" xr:uid="{00000000-0005-0000-0000-0000BD1D0000}"/>
    <cellStyle name="s_RushValSum (2)_2_Pasta2" xfId="4915" xr:uid="{00000000-0005-0000-0000-0000BE1D0000}"/>
    <cellStyle name="s_RushValSum (2)_Celtic DCF" xfId="4916" xr:uid="{00000000-0005-0000-0000-0000BF1D0000}"/>
    <cellStyle name="s_RushValSum (2)_Celtic DCF Inputs" xfId="4917" xr:uid="{00000000-0005-0000-0000-0000C01D0000}"/>
    <cellStyle name="s_RushValSum (2)_Celtic DCF Inputs_Comparativo VP FIN v1_So 2008" xfId="8699" xr:uid="{00000000-0005-0000-0000-0000C11D0000}"/>
    <cellStyle name="s_RushValSum (2)_Celtic DCF Inputs_Comparativo VP MKT 2008 v1_So 2008" xfId="8700" xr:uid="{00000000-0005-0000-0000-0000C21D0000}"/>
    <cellStyle name="s_RushValSum (2)_Celtic DCF Inputs_Comparativo VP TEC 2008 v1_So 2008" xfId="8701" xr:uid="{00000000-0005-0000-0000-0000C31D0000}"/>
    <cellStyle name="s_RushValSum (2)_Celtic DCF Inputs_Comparativo VP TEC 2008_Luiz Sergio" xfId="8702" xr:uid="{00000000-0005-0000-0000-0000C41D0000}"/>
    <cellStyle name="s_RushValSum (2)_Celtic DCF Inputs_Cópia de Modelo - Fluxo de Caixa Orcamento 09052009_V36_3" xfId="4918" xr:uid="{00000000-0005-0000-0000-0000C51D0000}"/>
    <cellStyle name="s_RushValSum (2)_Celtic DCF Inputs_Fluxo de Caixa Orcamento FINAL_13052009" xfId="4919" xr:uid="{00000000-0005-0000-0000-0000C61D0000}"/>
    <cellStyle name="s_RushValSum (2)_Celtic DCF Inputs_FM_dummyV4" xfId="4920" xr:uid="{00000000-0005-0000-0000-0000C71D0000}"/>
    <cellStyle name="s_RushValSum (2)_Celtic DCF Inputs_lalur" xfId="4921" xr:uid="{00000000-0005-0000-0000-0000C81D0000}"/>
    <cellStyle name="s_RushValSum (2)_Celtic DCF Inputs_Leasing_V3" xfId="4922" xr:uid="{00000000-0005-0000-0000-0000C91D0000}"/>
    <cellStyle name="s_RushValSum (2)_Celtic DCF Inputs_MODELO PDP III" xfId="4923" xr:uid="{00000000-0005-0000-0000-0000CA1D0000}"/>
    <cellStyle name="s_RushValSum (2)_Celtic DCF Inputs_ORÇ_2009" xfId="4924" xr:uid="{00000000-0005-0000-0000-0000CB1D0000}"/>
    <cellStyle name="s_RushValSum (2)_Celtic DCF Inputs_Pasta2" xfId="4925" xr:uid="{00000000-0005-0000-0000-0000CC1D0000}"/>
    <cellStyle name="s_RushValSum (2)_Celtic DCF_Comparativo VP FIN v1_So 2008" xfId="8703" xr:uid="{00000000-0005-0000-0000-0000CD1D0000}"/>
    <cellStyle name="s_RushValSum (2)_Celtic DCF_Comparativo VP MKT 2008 v1_So 2008" xfId="8704" xr:uid="{00000000-0005-0000-0000-0000CE1D0000}"/>
    <cellStyle name="s_RushValSum (2)_Celtic DCF_Comparativo VP TEC 2008 v1_So 2008" xfId="8705" xr:uid="{00000000-0005-0000-0000-0000CF1D0000}"/>
    <cellStyle name="s_RushValSum (2)_Celtic DCF_Comparativo VP TEC 2008_Luiz Sergio" xfId="8706" xr:uid="{00000000-0005-0000-0000-0000D01D0000}"/>
    <cellStyle name="s_RushValSum (2)_Celtic DCF_Cópia de Modelo - Fluxo de Caixa Orcamento 09052009_V36_3" xfId="4926" xr:uid="{00000000-0005-0000-0000-0000D11D0000}"/>
    <cellStyle name="s_RushValSum (2)_Celtic DCF_Fluxo de Caixa Orcamento FINAL_13052009" xfId="4927" xr:uid="{00000000-0005-0000-0000-0000D21D0000}"/>
    <cellStyle name="s_RushValSum (2)_Celtic DCF_FM_dummyV4" xfId="4928" xr:uid="{00000000-0005-0000-0000-0000D31D0000}"/>
    <cellStyle name="s_RushValSum (2)_Celtic DCF_lalur" xfId="4929" xr:uid="{00000000-0005-0000-0000-0000D41D0000}"/>
    <cellStyle name="s_RushValSum (2)_Celtic DCF_Leasing_V3" xfId="4930" xr:uid="{00000000-0005-0000-0000-0000D51D0000}"/>
    <cellStyle name="s_RushValSum (2)_Celtic DCF_MODELO PDP III" xfId="4931" xr:uid="{00000000-0005-0000-0000-0000D61D0000}"/>
    <cellStyle name="s_RushValSum (2)_Celtic DCF_ORÇ_2009" xfId="4932" xr:uid="{00000000-0005-0000-0000-0000D71D0000}"/>
    <cellStyle name="s_RushValSum (2)_Celtic DCF_Pasta2" xfId="4933" xr:uid="{00000000-0005-0000-0000-0000D81D0000}"/>
    <cellStyle name="s_RushValSum (2)_Comparativo VP FIN v1_So 2008" xfId="8707" xr:uid="{00000000-0005-0000-0000-0000D91D0000}"/>
    <cellStyle name="s_RushValSum (2)_Comparativo VP MKT 2008 v1_So 2008" xfId="8708" xr:uid="{00000000-0005-0000-0000-0000DA1D0000}"/>
    <cellStyle name="s_RushValSum (2)_Comparativo VP TEC 2008 v1_So 2008" xfId="8709" xr:uid="{00000000-0005-0000-0000-0000DB1D0000}"/>
    <cellStyle name="s_RushValSum (2)_Comparativo VP TEC 2008_Luiz Sergio" xfId="8710" xr:uid="{00000000-0005-0000-0000-0000DC1D0000}"/>
    <cellStyle name="s_RushValSum (2)_Cópia de Modelo - Fluxo de Caixa Orcamento 09052009_V36_3" xfId="4934" xr:uid="{00000000-0005-0000-0000-0000DD1D0000}"/>
    <cellStyle name="s_RushValSum (2)_Fluxo de Caixa Orcamento FINAL_13052009" xfId="4935" xr:uid="{00000000-0005-0000-0000-0000DE1D0000}"/>
    <cellStyle name="s_RushValSum (2)_FM_dummyV4" xfId="4936" xr:uid="{00000000-0005-0000-0000-0000DF1D0000}"/>
    <cellStyle name="s_RushValSum (2)_lalur" xfId="4937" xr:uid="{00000000-0005-0000-0000-0000E01D0000}"/>
    <cellStyle name="s_RushValSum (2)_Leasing_V3" xfId="4938" xr:uid="{00000000-0005-0000-0000-0000E11D0000}"/>
    <cellStyle name="s_RushValSum (2)_MODELO PDP III" xfId="4939" xr:uid="{00000000-0005-0000-0000-0000E21D0000}"/>
    <cellStyle name="s_RushValSum (2)_ORÇ_2009" xfId="4940" xr:uid="{00000000-0005-0000-0000-0000E31D0000}"/>
    <cellStyle name="s_RushValSum (2)_Pasta2" xfId="4941" xr:uid="{00000000-0005-0000-0000-0000E41D0000}"/>
    <cellStyle name="s_RushValSum (2)_Valuation Summary" xfId="4942" xr:uid="{00000000-0005-0000-0000-0000E51D0000}"/>
    <cellStyle name="s_RushValSum (2)_Valuation Summary_Comparativo VP FIN v1_So 2008" xfId="8711" xr:uid="{00000000-0005-0000-0000-0000E61D0000}"/>
    <cellStyle name="s_RushValSum (2)_Valuation Summary_Comparativo VP MKT 2008 v1_So 2008" xfId="8712" xr:uid="{00000000-0005-0000-0000-0000E71D0000}"/>
    <cellStyle name="s_RushValSum (2)_Valuation Summary_Comparativo VP TEC 2008 v1_So 2008" xfId="8713" xr:uid="{00000000-0005-0000-0000-0000E81D0000}"/>
    <cellStyle name="s_RushValSum (2)_Valuation Summary_Comparativo VP TEC 2008_Luiz Sergio" xfId="8714" xr:uid="{00000000-0005-0000-0000-0000E91D0000}"/>
    <cellStyle name="s_RushValSum (2)_Valuation Summary_Cópia de Modelo - Fluxo de Caixa Orcamento 09052009_V36_3" xfId="4943" xr:uid="{00000000-0005-0000-0000-0000EA1D0000}"/>
    <cellStyle name="s_RushValSum (2)_Valuation Summary_Fluxo de Caixa Orcamento FINAL_13052009" xfId="4944" xr:uid="{00000000-0005-0000-0000-0000EB1D0000}"/>
    <cellStyle name="s_RushValSum (2)_Valuation Summary_FM_dummyV4" xfId="4945" xr:uid="{00000000-0005-0000-0000-0000EC1D0000}"/>
    <cellStyle name="s_RushValSum (2)_Valuation Summary_lalur" xfId="4946" xr:uid="{00000000-0005-0000-0000-0000ED1D0000}"/>
    <cellStyle name="s_RushValSum (2)_Valuation Summary_Leasing_V3" xfId="4947" xr:uid="{00000000-0005-0000-0000-0000EE1D0000}"/>
    <cellStyle name="s_RushValSum (2)_Valuation Summary_MODELO PDP III" xfId="4948" xr:uid="{00000000-0005-0000-0000-0000EF1D0000}"/>
    <cellStyle name="s_RushValSum (2)_Valuation Summary_ORÇ_2009" xfId="4949" xr:uid="{00000000-0005-0000-0000-0000F01D0000}"/>
    <cellStyle name="s_RushValSum (2)_Valuation Summary_Pasta2" xfId="4950" xr:uid="{00000000-0005-0000-0000-0000F11D0000}"/>
    <cellStyle name="s_S_By_S" xfId="4951" xr:uid="{00000000-0005-0000-0000-0000F21D0000}"/>
    <cellStyle name="s_S_By_S_Comparativo VP FIN v1_So 2008" xfId="8715" xr:uid="{00000000-0005-0000-0000-0000F31D0000}"/>
    <cellStyle name="s_S_By_S_Comparativo VP MKT 2008 v1_So 2008" xfId="8716" xr:uid="{00000000-0005-0000-0000-0000F41D0000}"/>
    <cellStyle name="s_S_By_S_Comparativo VP TEC 2008 v1_So 2008" xfId="8717" xr:uid="{00000000-0005-0000-0000-0000F51D0000}"/>
    <cellStyle name="s_S_By_S_Comparativo VP TEC 2008_Luiz Sergio" xfId="8718" xr:uid="{00000000-0005-0000-0000-0000F61D0000}"/>
    <cellStyle name="s_S_By_S_Cópia de Modelo - Fluxo de Caixa Orcamento 09052009_V36_3" xfId="4952" xr:uid="{00000000-0005-0000-0000-0000F71D0000}"/>
    <cellStyle name="s_S_By_S_Fluxo de Caixa Orcamento FINAL_13052009" xfId="4953" xr:uid="{00000000-0005-0000-0000-0000F81D0000}"/>
    <cellStyle name="s_S_By_S_FM_dummyV4" xfId="4954" xr:uid="{00000000-0005-0000-0000-0000F91D0000}"/>
    <cellStyle name="s_S_By_S_lalur" xfId="4955" xr:uid="{00000000-0005-0000-0000-0000FA1D0000}"/>
    <cellStyle name="s_S_By_S_Leasing_V3" xfId="4956" xr:uid="{00000000-0005-0000-0000-0000FB1D0000}"/>
    <cellStyle name="s_S_By_S_MODELO PDP III" xfId="4957" xr:uid="{00000000-0005-0000-0000-0000FC1D0000}"/>
    <cellStyle name="s_S_By_S_ORÇ_2009" xfId="4958" xr:uid="{00000000-0005-0000-0000-0000FD1D0000}"/>
    <cellStyle name="s_S_By_S_Pasta2" xfId="4959" xr:uid="{00000000-0005-0000-0000-0000FE1D0000}"/>
    <cellStyle name="s_S_By_S_Q2 pipeline" xfId="4960" xr:uid="{00000000-0005-0000-0000-0000FF1D0000}"/>
    <cellStyle name="s_S_By_S_Q2 pipeline 2" xfId="8719" xr:uid="{00000000-0005-0000-0000-0000001E0000}"/>
    <cellStyle name="s_S_By_S_Q2 pipeline_Cópia de Modelo - Fluxo de Caixa Orcamento 09052009_V36_3" xfId="4961" xr:uid="{00000000-0005-0000-0000-0000011E0000}"/>
    <cellStyle name="s_S_By_S_Q2 pipeline_Cópia de Modelo - Fluxo de Caixa Orcamento 09052009_V36_3 2" xfId="8720" xr:uid="{00000000-0005-0000-0000-0000021E0000}"/>
    <cellStyle name="s_S_By_S_Q2 pipeline_Fluxo de Caixa Orcamento FINAL_13052009" xfId="4962" xr:uid="{00000000-0005-0000-0000-0000031E0000}"/>
    <cellStyle name="s_S_By_S_Q2 pipeline_Fluxo de Caixa Orcamento FINAL_13052009 2" xfId="8721" xr:uid="{00000000-0005-0000-0000-0000041E0000}"/>
    <cellStyle name="s_S_By_S_Q2 pipeline_FM_dummyV4" xfId="4963" xr:uid="{00000000-0005-0000-0000-0000051E0000}"/>
    <cellStyle name="s_S_By_S_Q2 pipeline_lalur" xfId="4964" xr:uid="{00000000-0005-0000-0000-0000061E0000}"/>
    <cellStyle name="s_S_By_S_Q2 pipeline_Leasing_V3" xfId="4965" xr:uid="{00000000-0005-0000-0000-0000071E0000}"/>
    <cellStyle name="s_S_By_S_Q2 pipeline_MODELO PDP III" xfId="4966" xr:uid="{00000000-0005-0000-0000-0000081E0000}"/>
    <cellStyle name="s_S_By_S_Q2 pipeline_ORÇ_2009" xfId="4967" xr:uid="{00000000-0005-0000-0000-0000091E0000}"/>
    <cellStyle name="s_S_By_S_Q2 pipeline_ORÇ_2009 2" xfId="8722" xr:uid="{00000000-0005-0000-0000-00000A1E0000}"/>
    <cellStyle name="s_S_By_S_Q2 pipeline_Pasta2" xfId="4968" xr:uid="{00000000-0005-0000-0000-00000B1E0000}"/>
    <cellStyle name="s_S_By_S_Q2 pipeline_Pasta2 2" xfId="8723" xr:uid="{00000000-0005-0000-0000-00000C1E0000}"/>
    <cellStyle name="s_Schedules" xfId="4969" xr:uid="{00000000-0005-0000-0000-00000D1E0000}"/>
    <cellStyle name="s_Schedules_1" xfId="4970" xr:uid="{00000000-0005-0000-0000-00000E1E0000}"/>
    <cellStyle name="s_Schedules_1_AM0909" xfId="4971" xr:uid="{00000000-0005-0000-0000-00000F1E0000}"/>
    <cellStyle name="s_Schedules_1_AM0909_Comparativo VP FIN v1_So 2008" xfId="8724" xr:uid="{00000000-0005-0000-0000-0000101E0000}"/>
    <cellStyle name="s_Schedules_1_AM0909_Comparativo VP MKT 2008 v1_So 2008" xfId="8725" xr:uid="{00000000-0005-0000-0000-0000111E0000}"/>
    <cellStyle name="s_Schedules_1_AM0909_Comparativo VP TEC 2008 v1_So 2008" xfId="8726" xr:uid="{00000000-0005-0000-0000-0000121E0000}"/>
    <cellStyle name="s_Schedules_1_AM0909_Comparativo VP TEC 2008_Luiz Sergio" xfId="8727" xr:uid="{00000000-0005-0000-0000-0000131E0000}"/>
    <cellStyle name="s_Schedules_1_AM0909_Cópia de Modelo - Fluxo de Caixa Orcamento 09052009_V36_3" xfId="4972" xr:uid="{00000000-0005-0000-0000-0000141E0000}"/>
    <cellStyle name="s_Schedules_1_AM0909_Fluxo de Caixa Orcamento FINAL_13052009" xfId="4973" xr:uid="{00000000-0005-0000-0000-0000151E0000}"/>
    <cellStyle name="s_Schedules_1_AM0909_FM_dummyV4" xfId="4974" xr:uid="{00000000-0005-0000-0000-0000161E0000}"/>
    <cellStyle name="s_Schedules_1_AM0909_lalur" xfId="4975" xr:uid="{00000000-0005-0000-0000-0000171E0000}"/>
    <cellStyle name="s_Schedules_1_AM0909_Leasing_V3" xfId="4976" xr:uid="{00000000-0005-0000-0000-0000181E0000}"/>
    <cellStyle name="s_Schedules_1_AM0909_MODELO PDP III" xfId="4977" xr:uid="{00000000-0005-0000-0000-0000191E0000}"/>
    <cellStyle name="s_Schedules_1_AM0909_ORÇ_2009" xfId="4978" xr:uid="{00000000-0005-0000-0000-00001A1E0000}"/>
    <cellStyle name="s_Schedules_1_AM0909_Pasta2" xfId="4979" xr:uid="{00000000-0005-0000-0000-00001B1E0000}"/>
    <cellStyle name="s_Schedules_1_Brenner" xfId="4980" xr:uid="{00000000-0005-0000-0000-00001C1E0000}"/>
    <cellStyle name="s_Schedules_1_Brenner_Comparativo VP FIN v1_So 2008" xfId="8728" xr:uid="{00000000-0005-0000-0000-00001D1E0000}"/>
    <cellStyle name="s_Schedules_1_Brenner_Comparativo VP MKT 2008 v1_So 2008" xfId="8729" xr:uid="{00000000-0005-0000-0000-00001E1E0000}"/>
    <cellStyle name="s_Schedules_1_Brenner_Comparativo VP TEC 2008 v1_So 2008" xfId="8730" xr:uid="{00000000-0005-0000-0000-00001F1E0000}"/>
    <cellStyle name="s_Schedules_1_Brenner_Comparativo VP TEC 2008_Luiz Sergio" xfId="8731" xr:uid="{00000000-0005-0000-0000-0000201E0000}"/>
    <cellStyle name="s_Schedules_1_Brenner_Cópia de Modelo - Fluxo de Caixa Orcamento 09052009_V36_3" xfId="4981" xr:uid="{00000000-0005-0000-0000-0000211E0000}"/>
    <cellStyle name="s_Schedules_1_Brenner_Fluxo de Caixa Orcamento FINAL_13052009" xfId="4982" xr:uid="{00000000-0005-0000-0000-0000221E0000}"/>
    <cellStyle name="s_Schedules_1_Brenner_FM_dummyV4" xfId="4983" xr:uid="{00000000-0005-0000-0000-0000231E0000}"/>
    <cellStyle name="s_Schedules_1_Brenner_lalur" xfId="4984" xr:uid="{00000000-0005-0000-0000-0000241E0000}"/>
    <cellStyle name="s_Schedules_1_Brenner_Leasing_V3" xfId="4985" xr:uid="{00000000-0005-0000-0000-0000251E0000}"/>
    <cellStyle name="s_Schedules_1_Brenner_MODELO PDP III" xfId="4986" xr:uid="{00000000-0005-0000-0000-0000261E0000}"/>
    <cellStyle name="s_Schedules_1_Brenner_ORÇ_2009" xfId="4987" xr:uid="{00000000-0005-0000-0000-0000271E0000}"/>
    <cellStyle name="s_Schedules_1_Brenner_Pasta2" xfId="4988" xr:uid="{00000000-0005-0000-0000-0000281E0000}"/>
    <cellStyle name="s_Schedules_1_Comparativo VP FIN v1_So 2008" xfId="8732" xr:uid="{00000000-0005-0000-0000-0000291E0000}"/>
    <cellStyle name="s_Schedules_1_Comparativo VP MKT 2008 v1_So 2008" xfId="8733" xr:uid="{00000000-0005-0000-0000-00002A1E0000}"/>
    <cellStyle name="s_Schedules_1_Comparativo VP TEC 2008 v1_So 2008" xfId="8734" xr:uid="{00000000-0005-0000-0000-00002B1E0000}"/>
    <cellStyle name="s_Schedules_1_Comparativo VP TEC 2008_Luiz Sergio" xfId="8735" xr:uid="{00000000-0005-0000-0000-00002C1E0000}"/>
    <cellStyle name="s_Schedules_1_Cópia de Modelo - Fluxo de Caixa Orcamento 09052009_V36_3" xfId="4989" xr:uid="{00000000-0005-0000-0000-00002D1E0000}"/>
    <cellStyle name="s_Schedules_1_Fluxo de Caixa Orcamento FINAL_13052009" xfId="4990" xr:uid="{00000000-0005-0000-0000-00002E1E0000}"/>
    <cellStyle name="s_Schedules_1_FM_dummyV4" xfId="4991" xr:uid="{00000000-0005-0000-0000-00002F1E0000}"/>
    <cellStyle name="s_Schedules_1_lalur" xfId="4992" xr:uid="{00000000-0005-0000-0000-0000301E0000}"/>
    <cellStyle name="s_Schedules_1_Leasing_V3" xfId="4993" xr:uid="{00000000-0005-0000-0000-0000311E0000}"/>
    <cellStyle name="s_Schedules_1_MODELO PDP III" xfId="4994" xr:uid="{00000000-0005-0000-0000-0000321E0000}"/>
    <cellStyle name="s_Schedules_1_ORÇ_2009" xfId="4995" xr:uid="{00000000-0005-0000-0000-0000331E0000}"/>
    <cellStyle name="s_Schedules_1_Pasta2" xfId="4996" xr:uid="{00000000-0005-0000-0000-0000341E0000}"/>
    <cellStyle name="s_Schedules_2" xfId="4997" xr:uid="{00000000-0005-0000-0000-0000351E0000}"/>
    <cellStyle name="s_Schedules_2_Comparativo VP FIN v1_So 2008" xfId="8736" xr:uid="{00000000-0005-0000-0000-0000361E0000}"/>
    <cellStyle name="s_Schedules_2_Comparativo VP MKT 2008 v1_So 2008" xfId="8737" xr:uid="{00000000-0005-0000-0000-0000371E0000}"/>
    <cellStyle name="s_Schedules_2_Comparativo VP TEC 2008 v1_So 2008" xfId="8738" xr:uid="{00000000-0005-0000-0000-0000381E0000}"/>
    <cellStyle name="s_Schedules_2_Comparativo VP TEC 2008_Luiz Sergio" xfId="8739" xr:uid="{00000000-0005-0000-0000-0000391E0000}"/>
    <cellStyle name="s_Schedules_2_Cópia de Modelo - Fluxo de Caixa Orcamento 09052009_V36_3" xfId="4998" xr:uid="{00000000-0005-0000-0000-00003A1E0000}"/>
    <cellStyle name="s_Schedules_2_Fluxo de Caixa Orcamento FINAL_13052009" xfId="4999" xr:uid="{00000000-0005-0000-0000-00003B1E0000}"/>
    <cellStyle name="s_Schedules_2_FM_dummyV4" xfId="5000" xr:uid="{00000000-0005-0000-0000-00003C1E0000}"/>
    <cellStyle name="s_Schedules_2_lalur" xfId="5001" xr:uid="{00000000-0005-0000-0000-00003D1E0000}"/>
    <cellStyle name="s_Schedules_2_Leasing_V3" xfId="5002" xr:uid="{00000000-0005-0000-0000-00003E1E0000}"/>
    <cellStyle name="s_Schedules_2_MODELO PDP III" xfId="5003" xr:uid="{00000000-0005-0000-0000-00003F1E0000}"/>
    <cellStyle name="s_Schedules_2_ORÇ_2009" xfId="5004" xr:uid="{00000000-0005-0000-0000-0000401E0000}"/>
    <cellStyle name="s_Schedules_2_Pasta2" xfId="5005" xr:uid="{00000000-0005-0000-0000-0000411E0000}"/>
    <cellStyle name="s_Schedules_AM0909" xfId="5006" xr:uid="{00000000-0005-0000-0000-0000421E0000}"/>
    <cellStyle name="s_Schedules_AM0909_Comparativo VP FIN v1_So 2008" xfId="8740" xr:uid="{00000000-0005-0000-0000-0000431E0000}"/>
    <cellStyle name="s_Schedules_AM0909_Comparativo VP MKT 2008 v1_So 2008" xfId="8741" xr:uid="{00000000-0005-0000-0000-0000441E0000}"/>
    <cellStyle name="s_Schedules_AM0909_Comparativo VP TEC 2008 v1_So 2008" xfId="8742" xr:uid="{00000000-0005-0000-0000-0000451E0000}"/>
    <cellStyle name="s_Schedules_AM0909_Comparativo VP TEC 2008_Luiz Sergio" xfId="8743" xr:uid="{00000000-0005-0000-0000-0000461E0000}"/>
    <cellStyle name="s_Schedules_AM0909_Cópia de Modelo - Fluxo de Caixa Orcamento 09052009_V36_3" xfId="5007" xr:uid="{00000000-0005-0000-0000-0000471E0000}"/>
    <cellStyle name="s_Schedules_AM0909_Fluxo de Caixa Orcamento FINAL_13052009" xfId="5008" xr:uid="{00000000-0005-0000-0000-0000481E0000}"/>
    <cellStyle name="s_Schedules_AM0909_FM_dummyV4" xfId="5009" xr:uid="{00000000-0005-0000-0000-0000491E0000}"/>
    <cellStyle name="s_Schedules_AM0909_lalur" xfId="5010" xr:uid="{00000000-0005-0000-0000-00004A1E0000}"/>
    <cellStyle name="s_Schedules_AM0909_Leasing_V3" xfId="5011" xr:uid="{00000000-0005-0000-0000-00004B1E0000}"/>
    <cellStyle name="s_Schedules_AM0909_MODELO PDP III" xfId="5012" xr:uid="{00000000-0005-0000-0000-00004C1E0000}"/>
    <cellStyle name="s_Schedules_AM0909_ORÇ_2009" xfId="5013" xr:uid="{00000000-0005-0000-0000-00004D1E0000}"/>
    <cellStyle name="s_Schedules_AM0909_Pasta2" xfId="5014" xr:uid="{00000000-0005-0000-0000-00004E1E0000}"/>
    <cellStyle name="s_Schedules_Brenner" xfId="5015" xr:uid="{00000000-0005-0000-0000-00004F1E0000}"/>
    <cellStyle name="s_Schedules_Brenner_Comparativo VP FIN v1_So 2008" xfId="8744" xr:uid="{00000000-0005-0000-0000-0000501E0000}"/>
    <cellStyle name="s_Schedules_Brenner_Comparativo VP MKT 2008 v1_So 2008" xfId="8745" xr:uid="{00000000-0005-0000-0000-0000511E0000}"/>
    <cellStyle name="s_Schedules_Brenner_Comparativo VP TEC 2008 v1_So 2008" xfId="8746" xr:uid="{00000000-0005-0000-0000-0000521E0000}"/>
    <cellStyle name="s_Schedules_Brenner_Comparativo VP TEC 2008_Luiz Sergio" xfId="8747" xr:uid="{00000000-0005-0000-0000-0000531E0000}"/>
    <cellStyle name="s_Schedules_Brenner_Cópia de Modelo - Fluxo de Caixa Orcamento 09052009_V36_3" xfId="5016" xr:uid="{00000000-0005-0000-0000-0000541E0000}"/>
    <cellStyle name="s_Schedules_Brenner_Fluxo de Caixa Orcamento FINAL_13052009" xfId="5017" xr:uid="{00000000-0005-0000-0000-0000551E0000}"/>
    <cellStyle name="s_Schedules_Brenner_FM_dummyV4" xfId="5018" xr:uid="{00000000-0005-0000-0000-0000561E0000}"/>
    <cellStyle name="s_Schedules_Brenner_lalur" xfId="5019" xr:uid="{00000000-0005-0000-0000-0000571E0000}"/>
    <cellStyle name="s_Schedules_Brenner_Leasing_V3" xfId="5020" xr:uid="{00000000-0005-0000-0000-0000581E0000}"/>
    <cellStyle name="s_Schedules_Brenner_MODELO PDP III" xfId="5021" xr:uid="{00000000-0005-0000-0000-0000591E0000}"/>
    <cellStyle name="s_Schedules_Brenner_ORÇ_2009" xfId="5022" xr:uid="{00000000-0005-0000-0000-00005A1E0000}"/>
    <cellStyle name="s_Schedules_Brenner_Pasta2" xfId="5023" xr:uid="{00000000-0005-0000-0000-00005B1E0000}"/>
    <cellStyle name="s_Schedules_Comparativo VP FIN v1_So 2008" xfId="8748" xr:uid="{00000000-0005-0000-0000-00005C1E0000}"/>
    <cellStyle name="s_Schedules_Comparativo VP MKT 2008 v1_So 2008" xfId="8749" xr:uid="{00000000-0005-0000-0000-00005D1E0000}"/>
    <cellStyle name="s_Schedules_Comparativo VP TEC 2008 v1_So 2008" xfId="8750" xr:uid="{00000000-0005-0000-0000-00005E1E0000}"/>
    <cellStyle name="s_Schedules_Comparativo VP TEC 2008_Luiz Sergio" xfId="8751" xr:uid="{00000000-0005-0000-0000-00005F1E0000}"/>
    <cellStyle name="s_Schedules_Cópia de Modelo - Fluxo de Caixa Orcamento 09052009_V36_3" xfId="5024" xr:uid="{00000000-0005-0000-0000-0000601E0000}"/>
    <cellStyle name="s_Schedules_Fluxo de Caixa Orcamento FINAL_13052009" xfId="5025" xr:uid="{00000000-0005-0000-0000-0000611E0000}"/>
    <cellStyle name="s_Schedules_FM_dummyV4" xfId="5026" xr:uid="{00000000-0005-0000-0000-0000621E0000}"/>
    <cellStyle name="s_Schedules_lalur" xfId="5027" xr:uid="{00000000-0005-0000-0000-0000631E0000}"/>
    <cellStyle name="s_Schedules_Leasing_V3" xfId="5028" xr:uid="{00000000-0005-0000-0000-0000641E0000}"/>
    <cellStyle name="s_Schedules_MODELO PDP III" xfId="5029" xr:uid="{00000000-0005-0000-0000-0000651E0000}"/>
    <cellStyle name="s_Schedules_ORÇ_2009" xfId="5030" xr:uid="{00000000-0005-0000-0000-0000661E0000}"/>
    <cellStyle name="s_Schedules_Pasta2" xfId="5031" xr:uid="{00000000-0005-0000-0000-0000671E0000}"/>
    <cellStyle name="s_Sheet5" xfId="5032" xr:uid="{00000000-0005-0000-0000-0000681E0000}"/>
    <cellStyle name="s_Sheet5_Comparativo VP FIN v1_So 2008" xfId="8752" xr:uid="{00000000-0005-0000-0000-0000691E0000}"/>
    <cellStyle name="s_Sheet5_Comparativo VP MKT 2008 v1_So 2008" xfId="8753" xr:uid="{00000000-0005-0000-0000-00006A1E0000}"/>
    <cellStyle name="s_Sheet5_Comparativo VP TEC 2008 v1_So 2008" xfId="8754" xr:uid="{00000000-0005-0000-0000-00006B1E0000}"/>
    <cellStyle name="s_Sheet5_Comparativo VP TEC 2008_Luiz Sergio" xfId="8755" xr:uid="{00000000-0005-0000-0000-00006C1E0000}"/>
    <cellStyle name="s_Sheet5_Cópia de Modelo - Fluxo de Caixa Orcamento 09052009_V36_3" xfId="5033" xr:uid="{00000000-0005-0000-0000-00006D1E0000}"/>
    <cellStyle name="s_Sheet5_Fluxo de Caixa Orcamento FINAL_13052009" xfId="5034" xr:uid="{00000000-0005-0000-0000-00006E1E0000}"/>
    <cellStyle name="s_Sheet5_FM_dummyV4" xfId="5035" xr:uid="{00000000-0005-0000-0000-00006F1E0000}"/>
    <cellStyle name="s_Sheet5_lalur" xfId="5036" xr:uid="{00000000-0005-0000-0000-0000701E0000}"/>
    <cellStyle name="s_Sheet5_Leasing_V3" xfId="5037" xr:uid="{00000000-0005-0000-0000-0000711E0000}"/>
    <cellStyle name="s_Sheet5_MODELO PDP III" xfId="5038" xr:uid="{00000000-0005-0000-0000-0000721E0000}"/>
    <cellStyle name="s_Sheet5_ORÇ_2009" xfId="5039" xr:uid="{00000000-0005-0000-0000-0000731E0000}"/>
    <cellStyle name="s_Sheet5_Pasta2" xfId="5040" xr:uid="{00000000-0005-0000-0000-0000741E0000}"/>
    <cellStyle name="s_Sheet5_Q2 pipeline" xfId="5041" xr:uid="{00000000-0005-0000-0000-0000751E0000}"/>
    <cellStyle name="s_Sheet5_Q2 pipeline 2" xfId="8756" xr:uid="{00000000-0005-0000-0000-0000761E0000}"/>
    <cellStyle name="s_Sheet5_Q2 pipeline_Cópia de Modelo - Fluxo de Caixa Orcamento 09052009_V36_3" xfId="5042" xr:uid="{00000000-0005-0000-0000-0000771E0000}"/>
    <cellStyle name="s_Sheet5_Q2 pipeline_Cópia de Modelo - Fluxo de Caixa Orcamento 09052009_V36_3 2" xfId="8757" xr:uid="{00000000-0005-0000-0000-0000781E0000}"/>
    <cellStyle name="s_Sheet5_Q2 pipeline_Fluxo de Caixa Orcamento FINAL_13052009" xfId="5043" xr:uid="{00000000-0005-0000-0000-0000791E0000}"/>
    <cellStyle name="s_Sheet5_Q2 pipeline_Fluxo de Caixa Orcamento FINAL_13052009 2" xfId="8758" xr:uid="{00000000-0005-0000-0000-00007A1E0000}"/>
    <cellStyle name="s_Sheet5_Q2 pipeline_FM_dummyV4" xfId="5044" xr:uid="{00000000-0005-0000-0000-00007B1E0000}"/>
    <cellStyle name="s_Sheet5_Q2 pipeline_lalur" xfId="5045" xr:uid="{00000000-0005-0000-0000-00007C1E0000}"/>
    <cellStyle name="s_Sheet5_Q2 pipeline_Leasing_V3" xfId="5046" xr:uid="{00000000-0005-0000-0000-00007D1E0000}"/>
    <cellStyle name="s_Sheet5_Q2 pipeline_MODELO PDP III" xfId="5047" xr:uid="{00000000-0005-0000-0000-00007E1E0000}"/>
    <cellStyle name="s_Sheet5_Q2 pipeline_ORÇ_2009" xfId="5048" xr:uid="{00000000-0005-0000-0000-00007F1E0000}"/>
    <cellStyle name="s_Sheet5_Q2 pipeline_ORÇ_2009 2" xfId="8759" xr:uid="{00000000-0005-0000-0000-0000801E0000}"/>
    <cellStyle name="s_Sheet5_Q2 pipeline_Pasta2" xfId="5049" xr:uid="{00000000-0005-0000-0000-0000811E0000}"/>
    <cellStyle name="s_Sheet5_Q2 pipeline_Pasta2 2" xfId="8760" xr:uid="{00000000-0005-0000-0000-0000821E0000}"/>
    <cellStyle name="s_Standalone" xfId="5050" xr:uid="{00000000-0005-0000-0000-0000831E0000}"/>
    <cellStyle name="s_Standalone_1" xfId="5051" xr:uid="{00000000-0005-0000-0000-0000841E0000}"/>
    <cellStyle name="s_Standalone_1_Comparativo VP FIN v1_So 2008" xfId="8761" xr:uid="{00000000-0005-0000-0000-0000851E0000}"/>
    <cellStyle name="s_Standalone_1_Comparativo VP MKT 2008 v1_So 2008" xfId="8762" xr:uid="{00000000-0005-0000-0000-0000861E0000}"/>
    <cellStyle name="s_Standalone_1_Comparativo VP TEC 2008 v1_So 2008" xfId="8763" xr:uid="{00000000-0005-0000-0000-0000871E0000}"/>
    <cellStyle name="s_Standalone_1_Comparativo VP TEC 2008_Luiz Sergio" xfId="8764" xr:uid="{00000000-0005-0000-0000-0000881E0000}"/>
    <cellStyle name="s_Standalone_1_Cópia de Modelo - Fluxo de Caixa Orcamento 09052009_V36_3" xfId="5052" xr:uid="{00000000-0005-0000-0000-0000891E0000}"/>
    <cellStyle name="s_Standalone_1_Fluxo de Caixa Orcamento FINAL_13052009" xfId="5053" xr:uid="{00000000-0005-0000-0000-00008A1E0000}"/>
    <cellStyle name="s_Standalone_1_FM_dummyV4" xfId="5054" xr:uid="{00000000-0005-0000-0000-00008B1E0000}"/>
    <cellStyle name="s_Standalone_1_lalur" xfId="5055" xr:uid="{00000000-0005-0000-0000-00008C1E0000}"/>
    <cellStyle name="s_Standalone_1_Leasing_V3" xfId="5056" xr:uid="{00000000-0005-0000-0000-00008D1E0000}"/>
    <cellStyle name="s_Standalone_1_MODELO PDP III" xfId="5057" xr:uid="{00000000-0005-0000-0000-00008E1E0000}"/>
    <cellStyle name="s_Standalone_1_ORÇ_2009" xfId="5058" xr:uid="{00000000-0005-0000-0000-00008F1E0000}"/>
    <cellStyle name="s_Standalone_1_Pasta2" xfId="5059" xr:uid="{00000000-0005-0000-0000-0000901E0000}"/>
    <cellStyle name="s_Standalone_2" xfId="5060" xr:uid="{00000000-0005-0000-0000-0000911E0000}"/>
    <cellStyle name="s_Standalone_2_Comparativo VP FIN v1_So 2008" xfId="8765" xr:uid="{00000000-0005-0000-0000-0000921E0000}"/>
    <cellStyle name="s_Standalone_2_Comparativo VP MKT 2008 v1_So 2008" xfId="8766" xr:uid="{00000000-0005-0000-0000-0000931E0000}"/>
    <cellStyle name="s_Standalone_2_Comparativo VP TEC 2008 v1_So 2008" xfId="8767" xr:uid="{00000000-0005-0000-0000-0000941E0000}"/>
    <cellStyle name="s_Standalone_2_Comparativo VP TEC 2008_Luiz Sergio" xfId="8768" xr:uid="{00000000-0005-0000-0000-0000951E0000}"/>
    <cellStyle name="s_Standalone_2_Cópia de Modelo - Fluxo de Caixa Orcamento 09052009_V36_3" xfId="5061" xr:uid="{00000000-0005-0000-0000-0000961E0000}"/>
    <cellStyle name="s_Standalone_2_Fluxo de Caixa Orcamento FINAL_13052009" xfId="5062" xr:uid="{00000000-0005-0000-0000-0000971E0000}"/>
    <cellStyle name="s_Standalone_2_FM_dummyV4" xfId="5063" xr:uid="{00000000-0005-0000-0000-0000981E0000}"/>
    <cellStyle name="s_Standalone_2_lalur" xfId="5064" xr:uid="{00000000-0005-0000-0000-0000991E0000}"/>
    <cellStyle name="s_Standalone_2_Leasing_V3" xfId="5065" xr:uid="{00000000-0005-0000-0000-00009A1E0000}"/>
    <cellStyle name="s_Standalone_2_MODELO PDP III" xfId="5066" xr:uid="{00000000-0005-0000-0000-00009B1E0000}"/>
    <cellStyle name="s_Standalone_2_ORÇ_2009" xfId="5067" xr:uid="{00000000-0005-0000-0000-00009C1E0000}"/>
    <cellStyle name="s_Standalone_2_Pasta2" xfId="5068" xr:uid="{00000000-0005-0000-0000-00009D1E0000}"/>
    <cellStyle name="s_Standalone_Comparativo VP FIN v1_So 2008" xfId="8769" xr:uid="{00000000-0005-0000-0000-00009E1E0000}"/>
    <cellStyle name="s_Standalone_Comparativo VP MKT 2008 v1_So 2008" xfId="8770" xr:uid="{00000000-0005-0000-0000-00009F1E0000}"/>
    <cellStyle name="s_Standalone_Comparativo VP TEC 2008 v1_So 2008" xfId="8771" xr:uid="{00000000-0005-0000-0000-0000A01E0000}"/>
    <cellStyle name="s_Standalone_Comparativo VP TEC 2008_Luiz Sergio" xfId="8772" xr:uid="{00000000-0005-0000-0000-0000A11E0000}"/>
    <cellStyle name="s_Standalone_Cópia de Modelo - Fluxo de Caixa Orcamento 09052009_V36_3" xfId="5069" xr:uid="{00000000-0005-0000-0000-0000A21E0000}"/>
    <cellStyle name="s_Standalone_Fluxo de Caixa Orcamento FINAL_13052009" xfId="5070" xr:uid="{00000000-0005-0000-0000-0000A31E0000}"/>
    <cellStyle name="s_Standalone_FM_dummyV4" xfId="5071" xr:uid="{00000000-0005-0000-0000-0000A41E0000}"/>
    <cellStyle name="s_Standalone_lalur" xfId="5072" xr:uid="{00000000-0005-0000-0000-0000A51E0000}"/>
    <cellStyle name="s_Standalone_Leasing_V3" xfId="5073" xr:uid="{00000000-0005-0000-0000-0000A61E0000}"/>
    <cellStyle name="s_Standalone_MODELO PDP III" xfId="5074" xr:uid="{00000000-0005-0000-0000-0000A71E0000}"/>
    <cellStyle name="s_Standalone_ORÇ_2009" xfId="5075" xr:uid="{00000000-0005-0000-0000-0000A81E0000}"/>
    <cellStyle name="s_Standalone_Pasta2" xfId="5076" xr:uid="{00000000-0005-0000-0000-0000A91E0000}"/>
    <cellStyle name="s_Statement Sky - Finance" xfId="5077" xr:uid="{00000000-0005-0000-0000-0000AA1E0000}"/>
    <cellStyle name="s_Stub Value" xfId="5078" xr:uid="{00000000-0005-0000-0000-0000AB1E0000}"/>
    <cellStyle name="s_Stub Value_1" xfId="5079" xr:uid="{00000000-0005-0000-0000-0000AC1E0000}"/>
    <cellStyle name="s_Stub Value_1_Comparativo VP FIN v1_So 2008" xfId="8773" xr:uid="{00000000-0005-0000-0000-0000AD1E0000}"/>
    <cellStyle name="s_Stub Value_1_Comparativo VP MKT 2008 v1_So 2008" xfId="8774" xr:uid="{00000000-0005-0000-0000-0000AE1E0000}"/>
    <cellStyle name="s_Stub Value_1_Comparativo VP TEC 2008 v1_So 2008" xfId="8775" xr:uid="{00000000-0005-0000-0000-0000AF1E0000}"/>
    <cellStyle name="s_Stub Value_1_Comparativo VP TEC 2008_Luiz Sergio" xfId="8776" xr:uid="{00000000-0005-0000-0000-0000B01E0000}"/>
    <cellStyle name="s_Stub Value_1_Cópia de Modelo - Fluxo de Caixa Orcamento 09052009_V36_3" xfId="5080" xr:uid="{00000000-0005-0000-0000-0000B11E0000}"/>
    <cellStyle name="s_Stub Value_1_Fluxo de Caixa Orcamento FINAL_13052009" xfId="5081" xr:uid="{00000000-0005-0000-0000-0000B21E0000}"/>
    <cellStyle name="s_Stub Value_1_FM_dummyV4" xfId="5082" xr:uid="{00000000-0005-0000-0000-0000B31E0000}"/>
    <cellStyle name="s_Stub Value_1_lalur" xfId="5083" xr:uid="{00000000-0005-0000-0000-0000B41E0000}"/>
    <cellStyle name="s_Stub Value_1_Leasing_V3" xfId="5084" xr:uid="{00000000-0005-0000-0000-0000B51E0000}"/>
    <cellStyle name="s_Stub Value_1_MODELO PDP III" xfId="5085" xr:uid="{00000000-0005-0000-0000-0000B61E0000}"/>
    <cellStyle name="s_Stub Value_1_ORÇ_2009" xfId="5086" xr:uid="{00000000-0005-0000-0000-0000B71E0000}"/>
    <cellStyle name="s_Stub Value_1_Pasta2" xfId="5087" xr:uid="{00000000-0005-0000-0000-0000B81E0000}"/>
    <cellStyle name="s_Stub Value_Comparativo VP FIN v1_So 2008" xfId="8777" xr:uid="{00000000-0005-0000-0000-0000B91E0000}"/>
    <cellStyle name="s_Stub Value_Comparativo VP MKT 2008 v1_So 2008" xfId="8778" xr:uid="{00000000-0005-0000-0000-0000BA1E0000}"/>
    <cellStyle name="s_Stub Value_Comparativo VP TEC 2008 v1_So 2008" xfId="8779" xr:uid="{00000000-0005-0000-0000-0000BB1E0000}"/>
    <cellStyle name="s_Stub Value_Comparativo VP TEC 2008_Luiz Sergio" xfId="8780" xr:uid="{00000000-0005-0000-0000-0000BC1E0000}"/>
    <cellStyle name="s_Stub Value_Cópia de Modelo - Fluxo de Caixa Orcamento 09052009_V36_3" xfId="5088" xr:uid="{00000000-0005-0000-0000-0000BD1E0000}"/>
    <cellStyle name="s_Stub Value_Fluxo de Caixa Orcamento FINAL_13052009" xfId="5089" xr:uid="{00000000-0005-0000-0000-0000BE1E0000}"/>
    <cellStyle name="s_Stub Value_FM_dummyV4" xfId="5090" xr:uid="{00000000-0005-0000-0000-0000BF1E0000}"/>
    <cellStyle name="s_Stub Value_lalur" xfId="5091" xr:uid="{00000000-0005-0000-0000-0000C01E0000}"/>
    <cellStyle name="s_Stub Value_Leasing_V3" xfId="5092" xr:uid="{00000000-0005-0000-0000-0000C11E0000}"/>
    <cellStyle name="s_Stub Value_MODELO PDP III" xfId="5093" xr:uid="{00000000-0005-0000-0000-0000C21E0000}"/>
    <cellStyle name="s_Stub Value_ORÇ_2009" xfId="5094" xr:uid="{00000000-0005-0000-0000-0000C31E0000}"/>
    <cellStyle name="s_Stub Value_Pasta2" xfId="5095" xr:uid="{00000000-0005-0000-0000-0000C41E0000}"/>
    <cellStyle name="s_Summary of Pro Forma (2)" xfId="5096" xr:uid="{00000000-0005-0000-0000-0000C51E0000}"/>
    <cellStyle name="s_Summary of Pro Forma (2)_1" xfId="5097" xr:uid="{00000000-0005-0000-0000-0000C61E0000}"/>
    <cellStyle name="s_Summary of Pro Forma (2)_1_Comparativo VP FIN v1_So 2008" xfId="8781" xr:uid="{00000000-0005-0000-0000-0000C71E0000}"/>
    <cellStyle name="s_Summary of Pro Forma (2)_1_Comparativo VP MKT 2008 v1_So 2008" xfId="8782" xr:uid="{00000000-0005-0000-0000-0000C81E0000}"/>
    <cellStyle name="s_Summary of Pro Forma (2)_1_Comparativo VP TEC 2008 v1_So 2008" xfId="8783" xr:uid="{00000000-0005-0000-0000-0000C91E0000}"/>
    <cellStyle name="s_Summary of Pro Forma (2)_1_Comparativo VP TEC 2008_Luiz Sergio" xfId="8784" xr:uid="{00000000-0005-0000-0000-0000CA1E0000}"/>
    <cellStyle name="s_Summary of Pro Forma (2)_1_Cópia de Modelo - Fluxo de Caixa Orcamento 09052009_V36_3" xfId="5098" xr:uid="{00000000-0005-0000-0000-0000CB1E0000}"/>
    <cellStyle name="s_Summary of Pro Forma (2)_1_Fluxo de Caixa Orcamento FINAL_13052009" xfId="5099" xr:uid="{00000000-0005-0000-0000-0000CC1E0000}"/>
    <cellStyle name="s_Summary of Pro Forma (2)_1_FM_dummyV4" xfId="5100" xr:uid="{00000000-0005-0000-0000-0000CD1E0000}"/>
    <cellStyle name="s_Summary of Pro Forma (2)_1_lalur" xfId="5101" xr:uid="{00000000-0005-0000-0000-0000CE1E0000}"/>
    <cellStyle name="s_Summary of Pro Forma (2)_1_Leasing_V3" xfId="5102" xr:uid="{00000000-0005-0000-0000-0000CF1E0000}"/>
    <cellStyle name="s_Summary of Pro Forma (2)_1_MODELO PDP III" xfId="5103" xr:uid="{00000000-0005-0000-0000-0000D01E0000}"/>
    <cellStyle name="s_Summary of Pro Forma (2)_1_ORÇ_2009" xfId="5104" xr:uid="{00000000-0005-0000-0000-0000D11E0000}"/>
    <cellStyle name="s_Summary of Pro Forma (2)_1_Pasta2" xfId="5105" xr:uid="{00000000-0005-0000-0000-0000D21E0000}"/>
    <cellStyle name="s_Summary of Pro Forma (2)_2" xfId="5106" xr:uid="{00000000-0005-0000-0000-0000D31E0000}"/>
    <cellStyle name="s_Summary of Pro Forma (2)_2_Comparativo VP FIN v1_So 2008" xfId="8785" xr:uid="{00000000-0005-0000-0000-0000D41E0000}"/>
    <cellStyle name="s_Summary of Pro Forma (2)_2_Comparativo VP MKT 2008 v1_So 2008" xfId="8786" xr:uid="{00000000-0005-0000-0000-0000D51E0000}"/>
    <cellStyle name="s_Summary of Pro Forma (2)_2_Comparativo VP TEC 2008 v1_So 2008" xfId="8787" xr:uid="{00000000-0005-0000-0000-0000D61E0000}"/>
    <cellStyle name="s_Summary of Pro Forma (2)_2_Comparativo VP TEC 2008_Luiz Sergio" xfId="8788" xr:uid="{00000000-0005-0000-0000-0000D71E0000}"/>
    <cellStyle name="s_Summary of Pro Forma (2)_2_Cópia de Modelo - Fluxo de Caixa Orcamento 09052009_V36_3" xfId="5107" xr:uid="{00000000-0005-0000-0000-0000D81E0000}"/>
    <cellStyle name="s_Summary of Pro Forma (2)_2_Fluxo de Caixa Orcamento FINAL_13052009" xfId="5108" xr:uid="{00000000-0005-0000-0000-0000D91E0000}"/>
    <cellStyle name="s_Summary of Pro Forma (2)_2_FM_dummyV4" xfId="5109" xr:uid="{00000000-0005-0000-0000-0000DA1E0000}"/>
    <cellStyle name="s_Summary of Pro Forma (2)_2_lalur" xfId="5110" xr:uid="{00000000-0005-0000-0000-0000DB1E0000}"/>
    <cellStyle name="s_Summary of Pro Forma (2)_2_Leasing_V3" xfId="5111" xr:uid="{00000000-0005-0000-0000-0000DC1E0000}"/>
    <cellStyle name="s_Summary of Pro Forma (2)_2_MODELO PDP III" xfId="5112" xr:uid="{00000000-0005-0000-0000-0000DD1E0000}"/>
    <cellStyle name="s_Summary of Pro Forma (2)_2_ORÇ_2009" xfId="5113" xr:uid="{00000000-0005-0000-0000-0000DE1E0000}"/>
    <cellStyle name="s_Summary of Pro Forma (2)_2_Pasta2" xfId="5114" xr:uid="{00000000-0005-0000-0000-0000DF1E0000}"/>
    <cellStyle name="s_Summary of Pro Forma (2)_Celtic DCF" xfId="5115" xr:uid="{00000000-0005-0000-0000-0000E01E0000}"/>
    <cellStyle name="s_Summary of Pro Forma (2)_Celtic DCF Inputs" xfId="5116" xr:uid="{00000000-0005-0000-0000-0000E11E0000}"/>
    <cellStyle name="s_Summary of Pro Forma (2)_Celtic DCF Inputs_Comparativo VP FIN v1_So 2008" xfId="8789" xr:uid="{00000000-0005-0000-0000-0000E21E0000}"/>
    <cellStyle name="s_Summary of Pro Forma (2)_Celtic DCF Inputs_Comparativo VP MKT 2008 v1_So 2008" xfId="8790" xr:uid="{00000000-0005-0000-0000-0000E31E0000}"/>
    <cellStyle name="s_Summary of Pro Forma (2)_Celtic DCF Inputs_Comparativo VP TEC 2008 v1_So 2008" xfId="8791" xr:uid="{00000000-0005-0000-0000-0000E41E0000}"/>
    <cellStyle name="s_Summary of Pro Forma (2)_Celtic DCF Inputs_Comparativo VP TEC 2008_Luiz Sergio" xfId="8792" xr:uid="{00000000-0005-0000-0000-0000E51E0000}"/>
    <cellStyle name="s_Summary of Pro Forma (2)_Celtic DCF Inputs_Cópia de Modelo - Fluxo de Caixa Orcamento 09052009_V36_3" xfId="5117" xr:uid="{00000000-0005-0000-0000-0000E61E0000}"/>
    <cellStyle name="s_Summary of Pro Forma (2)_Celtic DCF Inputs_Fluxo de Caixa Orcamento FINAL_13052009" xfId="5118" xr:uid="{00000000-0005-0000-0000-0000E71E0000}"/>
    <cellStyle name="s_Summary of Pro Forma (2)_Celtic DCF Inputs_FM_dummyV4" xfId="5119" xr:uid="{00000000-0005-0000-0000-0000E81E0000}"/>
    <cellStyle name="s_Summary of Pro Forma (2)_Celtic DCF Inputs_lalur" xfId="5120" xr:uid="{00000000-0005-0000-0000-0000E91E0000}"/>
    <cellStyle name="s_Summary of Pro Forma (2)_Celtic DCF Inputs_Leasing_V3" xfId="5121" xr:uid="{00000000-0005-0000-0000-0000EA1E0000}"/>
    <cellStyle name="s_Summary of Pro Forma (2)_Celtic DCF Inputs_MODELO PDP III" xfId="5122" xr:uid="{00000000-0005-0000-0000-0000EB1E0000}"/>
    <cellStyle name="s_Summary of Pro Forma (2)_Celtic DCF Inputs_ORÇ_2009" xfId="5123" xr:uid="{00000000-0005-0000-0000-0000EC1E0000}"/>
    <cellStyle name="s_Summary of Pro Forma (2)_Celtic DCF Inputs_Pasta2" xfId="5124" xr:uid="{00000000-0005-0000-0000-0000ED1E0000}"/>
    <cellStyle name="s_Summary of Pro Forma (2)_Celtic DCF_Comparativo VP FIN v1_So 2008" xfId="8793" xr:uid="{00000000-0005-0000-0000-0000EE1E0000}"/>
    <cellStyle name="s_Summary of Pro Forma (2)_Celtic DCF_Comparativo VP MKT 2008 v1_So 2008" xfId="8794" xr:uid="{00000000-0005-0000-0000-0000EF1E0000}"/>
    <cellStyle name="s_Summary of Pro Forma (2)_Celtic DCF_Comparativo VP TEC 2008 v1_So 2008" xfId="8795" xr:uid="{00000000-0005-0000-0000-0000F01E0000}"/>
    <cellStyle name="s_Summary of Pro Forma (2)_Celtic DCF_Comparativo VP TEC 2008_Luiz Sergio" xfId="8796" xr:uid="{00000000-0005-0000-0000-0000F11E0000}"/>
    <cellStyle name="s_Summary of Pro Forma (2)_Celtic DCF_Cópia de Modelo - Fluxo de Caixa Orcamento 09052009_V36_3" xfId="5125" xr:uid="{00000000-0005-0000-0000-0000F21E0000}"/>
    <cellStyle name="s_Summary of Pro Forma (2)_Celtic DCF_Fluxo de Caixa Orcamento FINAL_13052009" xfId="5126" xr:uid="{00000000-0005-0000-0000-0000F31E0000}"/>
    <cellStyle name="s_Summary of Pro Forma (2)_Celtic DCF_FM_dummyV4" xfId="5127" xr:uid="{00000000-0005-0000-0000-0000F41E0000}"/>
    <cellStyle name="s_Summary of Pro Forma (2)_Celtic DCF_lalur" xfId="5128" xr:uid="{00000000-0005-0000-0000-0000F51E0000}"/>
    <cellStyle name="s_Summary of Pro Forma (2)_Celtic DCF_Leasing_V3" xfId="5129" xr:uid="{00000000-0005-0000-0000-0000F61E0000}"/>
    <cellStyle name="s_Summary of Pro Forma (2)_Celtic DCF_MODELO PDP III" xfId="5130" xr:uid="{00000000-0005-0000-0000-0000F71E0000}"/>
    <cellStyle name="s_Summary of Pro Forma (2)_Celtic DCF_ORÇ_2009" xfId="5131" xr:uid="{00000000-0005-0000-0000-0000F81E0000}"/>
    <cellStyle name="s_Summary of Pro Forma (2)_Celtic DCF_Pasta2" xfId="5132" xr:uid="{00000000-0005-0000-0000-0000F91E0000}"/>
    <cellStyle name="s_Summary of Pro Forma (2)_Comparativo VP FIN v1_So 2008" xfId="8797" xr:uid="{00000000-0005-0000-0000-0000FA1E0000}"/>
    <cellStyle name="s_Summary of Pro Forma (2)_Comparativo VP MKT 2008 v1_So 2008" xfId="8798" xr:uid="{00000000-0005-0000-0000-0000FB1E0000}"/>
    <cellStyle name="s_Summary of Pro Forma (2)_Comparativo VP TEC 2008 v1_So 2008" xfId="8799" xr:uid="{00000000-0005-0000-0000-0000FC1E0000}"/>
    <cellStyle name="s_Summary of Pro Forma (2)_Comparativo VP TEC 2008_Luiz Sergio" xfId="8800" xr:uid="{00000000-0005-0000-0000-0000FD1E0000}"/>
    <cellStyle name="s_Summary of Pro Forma (2)_Cópia de Modelo - Fluxo de Caixa Orcamento 09052009_V36_3" xfId="5133" xr:uid="{00000000-0005-0000-0000-0000FE1E0000}"/>
    <cellStyle name="s_Summary of Pro Forma (2)_Fluxo de Caixa Orcamento FINAL_13052009" xfId="5134" xr:uid="{00000000-0005-0000-0000-0000FF1E0000}"/>
    <cellStyle name="s_Summary of Pro Forma (2)_FM_dummyV4" xfId="5135" xr:uid="{00000000-0005-0000-0000-0000001F0000}"/>
    <cellStyle name="s_Summary of Pro Forma (2)_lalur" xfId="5136" xr:uid="{00000000-0005-0000-0000-0000011F0000}"/>
    <cellStyle name="s_Summary of Pro Forma (2)_Leasing_V3" xfId="5137" xr:uid="{00000000-0005-0000-0000-0000021F0000}"/>
    <cellStyle name="s_Summary of Pro Forma (2)_MODELO PDP III" xfId="5138" xr:uid="{00000000-0005-0000-0000-0000031F0000}"/>
    <cellStyle name="s_Summary of Pro Forma (2)_ORÇ_2009" xfId="5139" xr:uid="{00000000-0005-0000-0000-0000041F0000}"/>
    <cellStyle name="s_Summary of Pro Forma (2)_Pasta2" xfId="5140" xr:uid="{00000000-0005-0000-0000-0000051F0000}"/>
    <cellStyle name="s_Summary of Pro Forma (2)_Valuation Summary" xfId="5141" xr:uid="{00000000-0005-0000-0000-0000061F0000}"/>
    <cellStyle name="s_Summary of Pro Forma (2)_Valuation Summary_Comparativo VP FIN v1_So 2008" xfId="8801" xr:uid="{00000000-0005-0000-0000-0000071F0000}"/>
    <cellStyle name="s_Summary of Pro Forma (2)_Valuation Summary_Comparativo VP MKT 2008 v1_So 2008" xfId="8802" xr:uid="{00000000-0005-0000-0000-0000081F0000}"/>
    <cellStyle name="s_Summary of Pro Forma (2)_Valuation Summary_Comparativo VP TEC 2008 v1_So 2008" xfId="8803" xr:uid="{00000000-0005-0000-0000-0000091F0000}"/>
    <cellStyle name="s_Summary of Pro Forma (2)_Valuation Summary_Comparativo VP TEC 2008_Luiz Sergio" xfId="8804" xr:uid="{00000000-0005-0000-0000-00000A1F0000}"/>
    <cellStyle name="s_Summary of Pro Forma (2)_Valuation Summary_Cópia de Modelo - Fluxo de Caixa Orcamento 09052009_V36_3" xfId="5142" xr:uid="{00000000-0005-0000-0000-00000B1F0000}"/>
    <cellStyle name="s_Summary of Pro Forma (2)_Valuation Summary_Fluxo de Caixa Orcamento FINAL_13052009" xfId="5143" xr:uid="{00000000-0005-0000-0000-00000C1F0000}"/>
    <cellStyle name="s_Summary of Pro Forma (2)_Valuation Summary_FM_dummyV4" xfId="5144" xr:uid="{00000000-0005-0000-0000-00000D1F0000}"/>
    <cellStyle name="s_Summary of Pro Forma (2)_Valuation Summary_lalur" xfId="5145" xr:uid="{00000000-0005-0000-0000-00000E1F0000}"/>
    <cellStyle name="s_Summary of Pro Forma (2)_Valuation Summary_Leasing_V3" xfId="5146" xr:uid="{00000000-0005-0000-0000-00000F1F0000}"/>
    <cellStyle name="s_Summary of Pro Forma (2)_Valuation Summary_MODELO PDP III" xfId="5147" xr:uid="{00000000-0005-0000-0000-0000101F0000}"/>
    <cellStyle name="s_Summary of Pro Forma (2)_Valuation Summary_ORÇ_2009" xfId="5148" xr:uid="{00000000-0005-0000-0000-0000111F0000}"/>
    <cellStyle name="s_Summary of Pro Forma (2)_Valuation Summary_Pasta2" xfId="5149" xr:uid="{00000000-0005-0000-0000-0000121F0000}"/>
    <cellStyle name="s_Summary of Pro Forma (3)" xfId="5150" xr:uid="{00000000-0005-0000-0000-0000131F0000}"/>
    <cellStyle name="s_Summary of Pro Forma (3)_1" xfId="5151" xr:uid="{00000000-0005-0000-0000-0000141F0000}"/>
    <cellStyle name="s_Summary of Pro Forma (3)_1_Comparativo VP FIN v1_So 2008" xfId="8805" xr:uid="{00000000-0005-0000-0000-0000151F0000}"/>
    <cellStyle name="s_Summary of Pro Forma (3)_1_Comparativo VP MKT 2008 v1_So 2008" xfId="8806" xr:uid="{00000000-0005-0000-0000-0000161F0000}"/>
    <cellStyle name="s_Summary of Pro Forma (3)_1_Comparativo VP TEC 2008 v1_So 2008" xfId="8807" xr:uid="{00000000-0005-0000-0000-0000171F0000}"/>
    <cellStyle name="s_Summary of Pro Forma (3)_1_Comparativo VP TEC 2008_Luiz Sergio" xfId="8808" xr:uid="{00000000-0005-0000-0000-0000181F0000}"/>
    <cellStyle name="s_Summary of Pro Forma (3)_1_Cópia de Modelo - Fluxo de Caixa Orcamento 09052009_V36_3" xfId="5152" xr:uid="{00000000-0005-0000-0000-0000191F0000}"/>
    <cellStyle name="s_Summary of Pro Forma (3)_1_Fluxo de Caixa Orcamento FINAL_13052009" xfId="5153" xr:uid="{00000000-0005-0000-0000-00001A1F0000}"/>
    <cellStyle name="s_Summary of Pro Forma (3)_1_FM_dummyV4" xfId="5154" xr:uid="{00000000-0005-0000-0000-00001B1F0000}"/>
    <cellStyle name="s_Summary of Pro Forma (3)_1_lalur" xfId="5155" xr:uid="{00000000-0005-0000-0000-00001C1F0000}"/>
    <cellStyle name="s_Summary of Pro Forma (3)_1_Leasing_V3" xfId="5156" xr:uid="{00000000-0005-0000-0000-00001D1F0000}"/>
    <cellStyle name="s_Summary of Pro Forma (3)_1_MODELO PDP III" xfId="5157" xr:uid="{00000000-0005-0000-0000-00001E1F0000}"/>
    <cellStyle name="s_Summary of Pro Forma (3)_1_ORÇ_2009" xfId="5158" xr:uid="{00000000-0005-0000-0000-00001F1F0000}"/>
    <cellStyle name="s_Summary of Pro Forma (3)_1_Pasta2" xfId="5159" xr:uid="{00000000-0005-0000-0000-0000201F0000}"/>
    <cellStyle name="s_Summary of Pro Forma (3)_Celtic DCF" xfId="5160" xr:uid="{00000000-0005-0000-0000-0000211F0000}"/>
    <cellStyle name="s_Summary of Pro Forma (3)_Celtic DCF Inputs" xfId="5161" xr:uid="{00000000-0005-0000-0000-0000221F0000}"/>
    <cellStyle name="s_Summary of Pro Forma (3)_Celtic DCF Inputs_Comparativo VP FIN v1_So 2008" xfId="8809" xr:uid="{00000000-0005-0000-0000-0000231F0000}"/>
    <cellStyle name="s_Summary of Pro Forma (3)_Celtic DCF Inputs_Comparativo VP MKT 2008 v1_So 2008" xfId="8810" xr:uid="{00000000-0005-0000-0000-0000241F0000}"/>
    <cellStyle name="s_Summary of Pro Forma (3)_Celtic DCF Inputs_Comparativo VP TEC 2008 v1_So 2008" xfId="8811" xr:uid="{00000000-0005-0000-0000-0000251F0000}"/>
    <cellStyle name="s_Summary of Pro Forma (3)_Celtic DCF Inputs_Comparativo VP TEC 2008_Luiz Sergio" xfId="8812" xr:uid="{00000000-0005-0000-0000-0000261F0000}"/>
    <cellStyle name="s_Summary of Pro Forma (3)_Celtic DCF Inputs_Cópia de Modelo - Fluxo de Caixa Orcamento 09052009_V36_3" xfId="5162" xr:uid="{00000000-0005-0000-0000-0000271F0000}"/>
    <cellStyle name="s_Summary of Pro Forma (3)_Celtic DCF Inputs_Fluxo de Caixa Orcamento FINAL_13052009" xfId="5163" xr:uid="{00000000-0005-0000-0000-0000281F0000}"/>
    <cellStyle name="s_Summary of Pro Forma (3)_Celtic DCF Inputs_FM_dummyV4" xfId="5164" xr:uid="{00000000-0005-0000-0000-0000291F0000}"/>
    <cellStyle name="s_Summary of Pro Forma (3)_Celtic DCF Inputs_lalur" xfId="5165" xr:uid="{00000000-0005-0000-0000-00002A1F0000}"/>
    <cellStyle name="s_Summary of Pro Forma (3)_Celtic DCF Inputs_Leasing_V3" xfId="5166" xr:uid="{00000000-0005-0000-0000-00002B1F0000}"/>
    <cellStyle name="s_Summary of Pro Forma (3)_Celtic DCF Inputs_MODELO PDP III" xfId="5167" xr:uid="{00000000-0005-0000-0000-00002C1F0000}"/>
    <cellStyle name="s_Summary of Pro Forma (3)_Celtic DCF Inputs_ORÇ_2009" xfId="5168" xr:uid="{00000000-0005-0000-0000-00002D1F0000}"/>
    <cellStyle name="s_Summary of Pro Forma (3)_Celtic DCF Inputs_Pasta2" xfId="5169" xr:uid="{00000000-0005-0000-0000-00002E1F0000}"/>
    <cellStyle name="s_Summary of Pro Forma (3)_Celtic DCF_Comparativo VP FIN v1_So 2008" xfId="8813" xr:uid="{00000000-0005-0000-0000-00002F1F0000}"/>
    <cellStyle name="s_Summary of Pro Forma (3)_Celtic DCF_Comparativo VP MKT 2008 v1_So 2008" xfId="8814" xr:uid="{00000000-0005-0000-0000-0000301F0000}"/>
    <cellStyle name="s_Summary of Pro Forma (3)_Celtic DCF_Comparativo VP TEC 2008 v1_So 2008" xfId="8815" xr:uid="{00000000-0005-0000-0000-0000311F0000}"/>
    <cellStyle name="s_Summary of Pro Forma (3)_Celtic DCF_Comparativo VP TEC 2008_Luiz Sergio" xfId="8816" xr:uid="{00000000-0005-0000-0000-0000321F0000}"/>
    <cellStyle name="s_Summary of Pro Forma (3)_Celtic DCF_Cópia de Modelo - Fluxo de Caixa Orcamento 09052009_V36_3" xfId="5170" xr:uid="{00000000-0005-0000-0000-0000331F0000}"/>
    <cellStyle name="s_Summary of Pro Forma (3)_Celtic DCF_Fluxo de Caixa Orcamento FINAL_13052009" xfId="5171" xr:uid="{00000000-0005-0000-0000-0000341F0000}"/>
    <cellStyle name="s_Summary of Pro Forma (3)_Celtic DCF_FM_dummyV4" xfId="5172" xr:uid="{00000000-0005-0000-0000-0000351F0000}"/>
    <cellStyle name="s_Summary of Pro Forma (3)_Celtic DCF_lalur" xfId="5173" xr:uid="{00000000-0005-0000-0000-0000361F0000}"/>
    <cellStyle name="s_Summary of Pro Forma (3)_Celtic DCF_Leasing_V3" xfId="5174" xr:uid="{00000000-0005-0000-0000-0000371F0000}"/>
    <cellStyle name="s_Summary of Pro Forma (3)_Celtic DCF_MODELO PDP III" xfId="5175" xr:uid="{00000000-0005-0000-0000-0000381F0000}"/>
    <cellStyle name="s_Summary of Pro Forma (3)_Celtic DCF_ORÇ_2009" xfId="5176" xr:uid="{00000000-0005-0000-0000-0000391F0000}"/>
    <cellStyle name="s_Summary of Pro Forma (3)_Celtic DCF_Pasta2" xfId="5177" xr:uid="{00000000-0005-0000-0000-00003A1F0000}"/>
    <cellStyle name="s_Summary of Pro Forma (3)_Comparativo VP FIN v1_So 2008" xfId="8817" xr:uid="{00000000-0005-0000-0000-00003B1F0000}"/>
    <cellStyle name="s_Summary of Pro Forma (3)_Comparativo VP MKT 2008 v1_So 2008" xfId="8818" xr:uid="{00000000-0005-0000-0000-00003C1F0000}"/>
    <cellStyle name="s_Summary of Pro Forma (3)_Comparativo VP TEC 2008 v1_So 2008" xfId="8819" xr:uid="{00000000-0005-0000-0000-00003D1F0000}"/>
    <cellStyle name="s_Summary of Pro Forma (3)_Comparativo VP TEC 2008_Luiz Sergio" xfId="8820" xr:uid="{00000000-0005-0000-0000-00003E1F0000}"/>
    <cellStyle name="s_Summary of Pro Forma (3)_Cópia de Modelo - Fluxo de Caixa Orcamento 09052009_V36_3" xfId="5178" xr:uid="{00000000-0005-0000-0000-00003F1F0000}"/>
    <cellStyle name="s_Summary of Pro Forma (3)_Fluxo de Caixa Orcamento FINAL_13052009" xfId="5179" xr:uid="{00000000-0005-0000-0000-0000401F0000}"/>
    <cellStyle name="s_Summary of Pro Forma (3)_FM_dummyV4" xfId="5180" xr:uid="{00000000-0005-0000-0000-0000411F0000}"/>
    <cellStyle name="s_Summary of Pro Forma (3)_lalur" xfId="5181" xr:uid="{00000000-0005-0000-0000-0000421F0000}"/>
    <cellStyle name="s_Summary of Pro Forma (3)_Leasing_V3" xfId="5182" xr:uid="{00000000-0005-0000-0000-0000431F0000}"/>
    <cellStyle name="s_Summary of Pro Forma (3)_MODELO PDP III" xfId="5183" xr:uid="{00000000-0005-0000-0000-0000441F0000}"/>
    <cellStyle name="s_Summary of Pro Forma (3)_ORÇ_2009" xfId="5184" xr:uid="{00000000-0005-0000-0000-0000451F0000}"/>
    <cellStyle name="s_Summary of Pro Forma (3)_Pasta2" xfId="5185" xr:uid="{00000000-0005-0000-0000-0000461F0000}"/>
    <cellStyle name="s_Summary of Pro Forma (3)_Valuation Summary" xfId="5186" xr:uid="{00000000-0005-0000-0000-0000471F0000}"/>
    <cellStyle name="s_Summary of Pro Forma (3)_Valuation Summary_Comparativo VP FIN v1_So 2008" xfId="8821" xr:uid="{00000000-0005-0000-0000-0000481F0000}"/>
    <cellStyle name="s_Summary of Pro Forma (3)_Valuation Summary_Comparativo VP MKT 2008 v1_So 2008" xfId="8822" xr:uid="{00000000-0005-0000-0000-0000491F0000}"/>
    <cellStyle name="s_Summary of Pro Forma (3)_Valuation Summary_Comparativo VP TEC 2008 v1_So 2008" xfId="8823" xr:uid="{00000000-0005-0000-0000-00004A1F0000}"/>
    <cellStyle name="s_Summary of Pro Forma (3)_Valuation Summary_Comparativo VP TEC 2008_Luiz Sergio" xfId="8824" xr:uid="{00000000-0005-0000-0000-00004B1F0000}"/>
    <cellStyle name="s_Summary of Pro Forma (3)_Valuation Summary_Cópia de Modelo - Fluxo de Caixa Orcamento 09052009_V36_3" xfId="5187" xr:uid="{00000000-0005-0000-0000-00004C1F0000}"/>
    <cellStyle name="s_Summary of Pro Forma (3)_Valuation Summary_Fluxo de Caixa Orcamento FINAL_13052009" xfId="5188" xr:uid="{00000000-0005-0000-0000-00004D1F0000}"/>
    <cellStyle name="s_Summary of Pro Forma (3)_Valuation Summary_FM_dummyV4" xfId="5189" xr:uid="{00000000-0005-0000-0000-00004E1F0000}"/>
    <cellStyle name="s_Summary of Pro Forma (3)_Valuation Summary_lalur" xfId="5190" xr:uid="{00000000-0005-0000-0000-00004F1F0000}"/>
    <cellStyle name="s_Summary of Pro Forma (3)_Valuation Summary_Leasing_V3" xfId="5191" xr:uid="{00000000-0005-0000-0000-0000501F0000}"/>
    <cellStyle name="s_Summary of Pro Forma (3)_Valuation Summary_MODELO PDP III" xfId="5192" xr:uid="{00000000-0005-0000-0000-0000511F0000}"/>
    <cellStyle name="s_Summary of Pro Forma (3)_Valuation Summary_ORÇ_2009" xfId="5193" xr:uid="{00000000-0005-0000-0000-0000521F0000}"/>
    <cellStyle name="s_Summary of Pro Forma (3)_Valuation Summary_Pasta2" xfId="5194" xr:uid="{00000000-0005-0000-0000-0000531F0000}"/>
    <cellStyle name="s_Texas_Louisiana (2)" xfId="5195" xr:uid="{00000000-0005-0000-0000-0000541F0000}"/>
    <cellStyle name="s_Texas_Louisiana (2)_1" xfId="5196" xr:uid="{00000000-0005-0000-0000-0000551F0000}"/>
    <cellStyle name="s_Texas_Louisiana (2)_1_Comparativo VP FIN v1_So 2008" xfId="8825" xr:uid="{00000000-0005-0000-0000-0000561F0000}"/>
    <cellStyle name="s_Texas_Louisiana (2)_1_Comparativo VP MKT 2008 v1_So 2008" xfId="8826" xr:uid="{00000000-0005-0000-0000-0000571F0000}"/>
    <cellStyle name="s_Texas_Louisiana (2)_1_Comparativo VP TEC 2008 v1_So 2008" xfId="8827" xr:uid="{00000000-0005-0000-0000-0000581F0000}"/>
    <cellStyle name="s_Texas_Louisiana (2)_1_Comparativo VP TEC 2008_Luiz Sergio" xfId="8828" xr:uid="{00000000-0005-0000-0000-0000591F0000}"/>
    <cellStyle name="s_Texas_Louisiana (2)_1_Cópia de Modelo - Fluxo de Caixa Orcamento 09052009_V36_3" xfId="5197" xr:uid="{00000000-0005-0000-0000-00005A1F0000}"/>
    <cellStyle name="s_Texas_Louisiana (2)_1_Fluxo de Caixa Orcamento FINAL_13052009" xfId="5198" xr:uid="{00000000-0005-0000-0000-00005B1F0000}"/>
    <cellStyle name="s_Texas_Louisiana (2)_1_FM_dummyV4" xfId="5199" xr:uid="{00000000-0005-0000-0000-00005C1F0000}"/>
    <cellStyle name="s_Texas_Louisiana (2)_1_lalur" xfId="5200" xr:uid="{00000000-0005-0000-0000-00005D1F0000}"/>
    <cellStyle name="s_Texas_Louisiana (2)_1_Leasing_V3" xfId="5201" xr:uid="{00000000-0005-0000-0000-00005E1F0000}"/>
    <cellStyle name="s_Texas_Louisiana (2)_1_MODELO PDP III" xfId="5202" xr:uid="{00000000-0005-0000-0000-00005F1F0000}"/>
    <cellStyle name="s_Texas_Louisiana (2)_1_ORÇ_2009" xfId="5203" xr:uid="{00000000-0005-0000-0000-0000601F0000}"/>
    <cellStyle name="s_Texas_Louisiana (2)_1_Pasta2" xfId="5204" xr:uid="{00000000-0005-0000-0000-0000611F0000}"/>
    <cellStyle name="s_Texas_Louisiana (2)_Comparativo VP FIN v1_So 2008" xfId="8829" xr:uid="{00000000-0005-0000-0000-0000621F0000}"/>
    <cellStyle name="s_Texas_Louisiana (2)_Comparativo VP MKT 2008 v1_So 2008" xfId="8830" xr:uid="{00000000-0005-0000-0000-0000631F0000}"/>
    <cellStyle name="s_Texas_Louisiana (2)_Comparativo VP TEC 2008 v1_So 2008" xfId="8831" xr:uid="{00000000-0005-0000-0000-0000641F0000}"/>
    <cellStyle name="s_Texas_Louisiana (2)_Comparativo VP TEC 2008_Luiz Sergio" xfId="8832" xr:uid="{00000000-0005-0000-0000-0000651F0000}"/>
    <cellStyle name="s_Texas_Louisiana (2)_Cópia de Modelo - Fluxo de Caixa Orcamento 09052009_V36_3" xfId="5205" xr:uid="{00000000-0005-0000-0000-0000661F0000}"/>
    <cellStyle name="s_Texas_Louisiana (2)_Fluxo de Caixa Orcamento FINAL_13052009" xfId="5206" xr:uid="{00000000-0005-0000-0000-0000671F0000}"/>
    <cellStyle name="s_Texas_Louisiana (2)_FM_dummyV4" xfId="5207" xr:uid="{00000000-0005-0000-0000-0000681F0000}"/>
    <cellStyle name="s_Texas_Louisiana (2)_lalur" xfId="5208" xr:uid="{00000000-0005-0000-0000-0000691F0000}"/>
    <cellStyle name="s_Texas_Louisiana (2)_Leasing_V3" xfId="5209" xr:uid="{00000000-0005-0000-0000-00006A1F0000}"/>
    <cellStyle name="s_Texas_Louisiana (2)_MODELO PDP III" xfId="5210" xr:uid="{00000000-0005-0000-0000-00006B1F0000}"/>
    <cellStyle name="s_Texas_Louisiana (2)_ORÇ_2009" xfId="5211" xr:uid="{00000000-0005-0000-0000-00006C1F0000}"/>
    <cellStyle name="s_Texas_Louisiana (2)_Pasta2" xfId="5212" xr:uid="{00000000-0005-0000-0000-00006D1F0000}"/>
    <cellStyle name="s_Timex-Gucci Merger2" xfId="5213" xr:uid="{00000000-0005-0000-0000-00006E1F0000}"/>
    <cellStyle name="s_Timex-Gucci Merger2_1" xfId="5214" xr:uid="{00000000-0005-0000-0000-00006F1F0000}"/>
    <cellStyle name="s_Timex-Gucci Merger2_1_Comparativo VP FIN v1_So 2008" xfId="8833" xr:uid="{00000000-0005-0000-0000-0000701F0000}"/>
    <cellStyle name="s_Timex-Gucci Merger2_1_Comparativo VP MKT 2008 v1_So 2008" xfId="8834" xr:uid="{00000000-0005-0000-0000-0000711F0000}"/>
    <cellStyle name="s_Timex-Gucci Merger2_1_Comparativo VP TEC 2008 v1_So 2008" xfId="8835" xr:uid="{00000000-0005-0000-0000-0000721F0000}"/>
    <cellStyle name="s_Timex-Gucci Merger2_1_Comparativo VP TEC 2008_Luiz Sergio" xfId="8836" xr:uid="{00000000-0005-0000-0000-0000731F0000}"/>
    <cellStyle name="s_Timex-Gucci Merger2_1_Cópia de Modelo - Fluxo de Caixa Orcamento 09052009_V36_3" xfId="5215" xr:uid="{00000000-0005-0000-0000-0000741F0000}"/>
    <cellStyle name="s_Timex-Gucci Merger2_1_Fluxo de Caixa Orcamento FINAL_13052009" xfId="5216" xr:uid="{00000000-0005-0000-0000-0000751F0000}"/>
    <cellStyle name="s_Timex-Gucci Merger2_1_FM_dummyV4" xfId="5217" xr:uid="{00000000-0005-0000-0000-0000761F0000}"/>
    <cellStyle name="s_Timex-Gucci Merger2_1_lalur" xfId="5218" xr:uid="{00000000-0005-0000-0000-0000771F0000}"/>
    <cellStyle name="s_Timex-Gucci Merger2_1_Leasing_V3" xfId="5219" xr:uid="{00000000-0005-0000-0000-0000781F0000}"/>
    <cellStyle name="s_Timex-Gucci Merger2_1_MODELO PDP III" xfId="5220" xr:uid="{00000000-0005-0000-0000-0000791F0000}"/>
    <cellStyle name="s_Timex-Gucci Merger2_1_ORÇ_2009" xfId="5221" xr:uid="{00000000-0005-0000-0000-00007A1F0000}"/>
    <cellStyle name="s_Timex-Gucci Merger2_1_Pasta2" xfId="5222" xr:uid="{00000000-0005-0000-0000-00007B1F0000}"/>
    <cellStyle name="s_Timex-Gucci Merger2_Comparativo VP FIN v1_So 2008" xfId="8837" xr:uid="{00000000-0005-0000-0000-00007C1F0000}"/>
    <cellStyle name="s_Timex-Gucci Merger2_Comparativo VP MKT 2008 v1_So 2008" xfId="8838" xr:uid="{00000000-0005-0000-0000-00007D1F0000}"/>
    <cellStyle name="s_Timex-Gucci Merger2_Comparativo VP TEC 2008 v1_So 2008" xfId="8839" xr:uid="{00000000-0005-0000-0000-00007E1F0000}"/>
    <cellStyle name="s_Timex-Gucci Merger2_Comparativo VP TEC 2008_Luiz Sergio" xfId="8840" xr:uid="{00000000-0005-0000-0000-00007F1F0000}"/>
    <cellStyle name="s_Timex-Gucci Merger2_Cópia de Modelo - Fluxo de Caixa Orcamento 09052009_V36_3" xfId="5223" xr:uid="{00000000-0005-0000-0000-0000801F0000}"/>
    <cellStyle name="s_Timex-Gucci Merger2_Fluxo de Caixa Orcamento FINAL_13052009" xfId="5224" xr:uid="{00000000-0005-0000-0000-0000811F0000}"/>
    <cellStyle name="s_Timex-Gucci Merger2_FM_dummyV4" xfId="5225" xr:uid="{00000000-0005-0000-0000-0000821F0000}"/>
    <cellStyle name="s_Timex-Gucci Merger2_lalur" xfId="5226" xr:uid="{00000000-0005-0000-0000-0000831F0000}"/>
    <cellStyle name="s_Timex-Gucci Merger2_Leasing_V3" xfId="5227" xr:uid="{00000000-0005-0000-0000-0000841F0000}"/>
    <cellStyle name="s_Timex-Gucci Merger2_MODELO PDP III" xfId="5228" xr:uid="{00000000-0005-0000-0000-0000851F0000}"/>
    <cellStyle name="s_Timex-Gucci Merger2_ORÇ_2009" xfId="5229" xr:uid="{00000000-0005-0000-0000-0000861F0000}"/>
    <cellStyle name="s_Timex-Gucci Merger2_Pasta2" xfId="5230" xr:uid="{00000000-0005-0000-0000-0000871F0000}"/>
    <cellStyle name="s_Trading Val Calc" xfId="5231" xr:uid="{00000000-0005-0000-0000-0000881F0000}"/>
    <cellStyle name="s_Trading Val Calc_1" xfId="5232" xr:uid="{00000000-0005-0000-0000-0000891F0000}"/>
    <cellStyle name="s_Trading Val Calc_1_Comparativo VP FIN v1_So 2008" xfId="8841" xr:uid="{00000000-0005-0000-0000-00008A1F0000}"/>
    <cellStyle name="s_Trading Val Calc_1_Comparativo VP MKT 2008 v1_So 2008" xfId="8842" xr:uid="{00000000-0005-0000-0000-00008B1F0000}"/>
    <cellStyle name="s_Trading Val Calc_1_Comparativo VP TEC 2008 v1_So 2008" xfId="8843" xr:uid="{00000000-0005-0000-0000-00008C1F0000}"/>
    <cellStyle name="s_Trading Val Calc_1_Comparativo VP TEC 2008_Luiz Sergio" xfId="8844" xr:uid="{00000000-0005-0000-0000-00008D1F0000}"/>
    <cellStyle name="s_Trading Val Calc_1_Cópia de Modelo - Fluxo de Caixa Orcamento 09052009_V36_3" xfId="5233" xr:uid="{00000000-0005-0000-0000-00008E1F0000}"/>
    <cellStyle name="s_Trading Val Calc_1_Fluxo de Caixa Orcamento FINAL_13052009" xfId="5234" xr:uid="{00000000-0005-0000-0000-00008F1F0000}"/>
    <cellStyle name="s_Trading Val Calc_1_FM_dummyV4" xfId="5235" xr:uid="{00000000-0005-0000-0000-0000901F0000}"/>
    <cellStyle name="s_Trading Val Calc_1_lalur" xfId="5236" xr:uid="{00000000-0005-0000-0000-0000911F0000}"/>
    <cellStyle name="s_Trading Val Calc_1_Leasing_V3" xfId="5237" xr:uid="{00000000-0005-0000-0000-0000921F0000}"/>
    <cellStyle name="s_Trading Val Calc_1_MODELO PDP III" xfId="5238" xr:uid="{00000000-0005-0000-0000-0000931F0000}"/>
    <cellStyle name="s_Trading Val Calc_1_ORÇ_2009" xfId="5239" xr:uid="{00000000-0005-0000-0000-0000941F0000}"/>
    <cellStyle name="s_Trading Val Calc_1_Pasta2" xfId="5240" xr:uid="{00000000-0005-0000-0000-0000951F0000}"/>
    <cellStyle name="s_Trading Val Calc_2" xfId="5241" xr:uid="{00000000-0005-0000-0000-0000961F0000}"/>
    <cellStyle name="s_Trading Val Calc_2_Comparativo VP FIN v1_So 2008" xfId="8845" xr:uid="{00000000-0005-0000-0000-0000971F0000}"/>
    <cellStyle name="s_Trading Val Calc_2_Comparativo VP MKT 2008 v1_So 2008" xfId="8846" xr:uid="{00000000-0005-0000-0000-0000981F0000}"/>
    <cellStyle name="s_Trading Val Calc_2_Comparativo VP TEC 2008 v1_So 2008" xfId="8847" xr:uid="{00000000-0005-0000-0000-0000991F0000}"/>
    <cellStyle name="s_Trading Val Calc_2_Comparativo VP TEC 2008_Luiz Sergio" xfId="8848" xr:uid="{00000000-0005-0000-0000-00009A1F0000}"/>
    <cellStyle name="s_Trading Val Calc_2_Cópia de Modelo - Fluxo de Caixa Orcamento 09052009_V36_3" xfId="5242" xr:uid="{00000000-0005-0000-0000-00009B1F0000}"/>
    <cellStyle name="s_Trading Val Calc_2_Fluxo de Caixa Orcamento FINAL_13052009" xfId="5243" xr:uid="{00000000-0005-0000-0000-00009C1F0000}"/>
    <cellStyle name="s_Trading Val Calc_2_FM_dummyV4" xfId="5244" xr:uid="{00000000-0005-0000-0000-00009D1F0000}"/>
    <cellStyle name="s_Trading Val Calc_2_lalur" xfId="5245" xr:uid="{00000000-0005-0000-0000-00009E1F0000}"/>
    <cellStyle name="s_Trading Val Calc_2_Leasing_V3" xfId="5246" xr:uid="{00000000-0005-0000-0000-00009F1F0000}"/>
    <cellStyle name="s_Trading Val Calc_2_MODELO PDP III" xfId="5247" xr:uid="{00000000-0005-0000-0000-0000A01F0000}"/>
    <cellStyle name="s_Trading Val Calc_2_ORÇ_2009" xfId="5248" xr:uid="{00000000-0005-0000-0000-0000A11F0000}"/>
    <cellStyle name="s_Trading Val Calc_2_Pasta2" xfId="5249" xr:uid="{00000000-0005-0000-0000-0000A21F0000}"/>
    <cellStyle name="s_Trading Val Calc_AM0909" xfId="5250" xr:uid="{00000000-0005-0000-0000-0000A31F0000}"/>
    <cellStyle name="s_Trading Val Calc_AM0909_Comparativo VP FIN v1_So 2008" xfId="8849" xr:uid="{00000000-0005-0000-0000-0000A41F0000}"/>
    <cellStyle name="s_Trading Val Calc_AM0909_Comparativo VP MKT 2008 v1_So 2008" xfId="8850" xr:uid="{00000000-0005-0000-0000-0000A51F0000}"/>
    <cellStyle name="s_Trading Val Calc_AM0909_Comparativo VP TEC 2008 v1_So 2008" xfId="8851" xr:uid="{00000000-0005-0000-0000-0000A61F0000}"/>
    <cellStyle name="s_Trading Val Calc_AM0909_Comparativo VP TEC 2008_Luiz Sergio" xfId="8852" xr:uid="{00000000-0005-0000-0000-0000A71F0000}"/>
    <cellStyle name="s_Trading Val Calc_AM0909_Cópia de Modelo - Fluxo de Caixa Orcamento 09052009_V36_3" xfId="5251" xr:uid="{00000000-0005-0000-0000-0000A81F0000}"/>
    <cellStyle name="s_Trading Val Calc_AM0909_Fluxo de Caixa Orcamento FINAL_13052009" xfId="5252" xr:uid="{00000000-0005-0000-0000-0000A91F0000}"/>
    <cellStyle name="s_Trading Val Calc_AM0909_FM_dummyV4" xfId="5253" xr:uid="{00000000-0005-0000-0000-0000AA1F0000}"/>
    <cellStyle name="s_Trading Val Calc_AM0909_lalur" xfId="5254" xr:uid="{00000000-0005-0000-0000-0000AB1F0000}"/>
    <cellStyle name="s_Trading Val Calc_AM0909_Leasing_V3" xfId="5255" xr:uid="{00000000-0005-0000-0000-0000AC1F0000}"/>
    <cellStyle name="s_Trading Val Calc_AM0909_MODELO PDP III" xfId="5256" xr:uid="{00000000-0005-0000-0000-0000AD1F0000}"/>
    <cellStyle name="s_Trading Val Calc_AM0909_ORÇ_2009" xfId="5257" xr:uid="{00000000-0005-0000-0000-0000AE1F0000}"/>
    <cellStyle name="s_Trading Val Calc_AM0909_Pasta2" xfId="5258" xr:uid="{00000000-0005-0000-0000-0000AF1F0000}"/>
    <cellStyle name="s_Trading Val Calc_Brenner" xfId="5259" xr:uid="{00000000-0005-0000-0000-0000B01F0000}"/>
    <cellStyle name="s_Trading Val Calc_Brenner_Comparativo VP FIN v1_So 2008" xfId="8853" xr:uid="{00000000-0005-0000-0000-0000B11F0000}"/>
    <cellStyle name="s_Trading Val Calc_Brenner_Comparativo VP MKT 2008 v1_So 2008" xfId="8854" xr:uid="{00000000-0005-0000-0000-0000B21F0000}"/>
    <cellStyle name="s_Trading Val Calc_Brenner_Comparativo VP TEC 2008 v1_So 2008" xfId="8855" xr:uid="{00000000-0005-0000-0000-0000B31F0000}"/>
    <cellStyle name="s_Trading Val Calc_Brenner_Comparativo VP TEC 2008_Luiz Sergio" xfId="8856" xr:uid="{00000000-0005-0000-0000-0000B41F0000}"/>
    <cellStyle name="s_Trading Val Calc_Brenner_Cópia de Modelo - Fluxo de Caixa Orcamento 09052009_V36_3" xfId="5260" xr:uid="{00000000-0005-0000-0000-0000B51F0000}"/>
    <cellStyle name="s_Trading Val Calc_Brenner_Fluxo de Caixa Orcamento FINAL_13052009" xfId="5261" xr:uid="{00000000-0005-0000-0000-0000B61F0000}"/>
    <cellStyle name="s_Trading Val Calc_Brenner_FM_dummyV4" xfId="5262" xr:uid="{00000000-0005-0000-0000-0000B71F0000}"/>
    <cellStyle name="s_Trading Val Calc_Brenner_lalur" xfId="5263" xr:uid="{00000000-0005-0000-0000-0000B81F0000}"/>
    <cellStyle name="s_Trading Val Calc_Brenner_Leasing_V3" xfId="5264" xr:uid="{00000000-0005-0000-0000-0000B91F0000}"/>
    <cellStyle name="s_Trading Val Calc_Brenner_MODELO PDP III" xfId="5265" xr:uid="{00000000-0005-0000-0000-0000BA1F0000}"/>
    <cellStyle name="s_Trading Val Calc_Brenner_ORÇ_2009" xfId="5266" xr:uid="{00000000-0005-0000-0000-0000BB1F0000}"/>
    <cellStyle name="s_Trading Val Calc_Brenner_Pasta2" xfId="5267" xr:uid="{00000000-0005-0000-0000-0000BC1F0000}"/>
    <cellStyle name="s_Trading Val Calc_Comparativo VP FIN v1_So 2008" xfId="8857" xr:uid="{00000000-0005-0000-0000-0000BD1F0000}"/>
    <cellStyle name="s_Trading Val Calc_Comparativo VP MKT 2008 v1_So 2008" xfId="8858" xr:uid="{00000000-0005-0000-0000-0000BE1F0000}"/>
    <cellStyle name="s_Trading Val Calc_Comparativo VP TEC 2008 v1_So 2008" xfId="8859" xr:uid="{00000000-0005-0000-0000-0000BF1F0000}"/>
    <cellStyle name="s_Trading Val Calc_Comparativo VP TEC 2008_Luiz Sergio" xfId="8860" xr:uid="{00000000-0005-0000-0000-0000C01F0000}"/>
    <cellStyle name="s_Trading Val Calc_Cópia de Modelo - Fluxo de Caixa Orcamento 09052009_V36_3" xfId="5268" xr:uid="{00000000-0005-0000-0000-0000C11F0000}"/>
    <cellStyle name="s_Trading Val Calc_Fluxo de Caixa Orcamento FINAL_13052009" xfId="5269" xr:uid="{00000000-0005-0000-0000-0000C21F0000}"/>
    <cellStyle name="s_Trading Val Calc_FM_dummyV4" xfId="5270" xr:uid="{00000000-0005-0000-0000-0000C31F0000}"/>
    <cellStyle name="s_Trading Val Calc_lalur" xfId="5271" xr:uid="{00000000-0005-0000-0000-0000C41F0000}"/>
    <cellStyle name="s_Trading Val Calc_Leasing_V3" xfId="5272" xr:uid="{00000000-0005-0000-0000-0000C51F0000}"/>
    <cellStyle name="s_Trading Val Calc_MODELO PDP III" xfId="5273" xr:uid="{00000000-0005-0000-0000-0000C61F0000}"/>
    <cellStyle name="s_Trading Val Calc_ORÇ_2009" xfId="5274" xr:uid="{00000000-0005-0000-0000-0000C71F0000}"/>
    <cellStyle name="s_Trading Val Calc_Pasta2" xfId="5275" xr:uid="{00000000-0005-0000-0000-0000C81F0000}"/>
    <cellStyle name="s_Trading Value" xfId="5276" xr:uid="{00000000-0005-0000-0000-0000C91F0000}"/>
    <cellStyle name="s_Trading Value_1" xfId="5277" xr:uid="{00000000-0005-0000-0000-0000CA1F0000}"/>
    <cellStyle name="s_Trading Value_1_Comparativo VP FIN v1_So 2008" xfId="8861" xr:uid="{00000000-0005-0000-0000-0000CB1F0000}"/>
    <cellStyle name="s_Trading Value_1_Comparativo VP MKT 2008 v1_So 2008" xfId="8862" xr:uid="{00000000-0005-0000-0000-0000CC1F0000}"/>
    <cellStyle name="s_Trading Value_1_Comparativo VP TEC 2008 v1_So 2008" xfId="8863" xr:uid="{00000000-0005-0000-0000-0000CD1F0000}"/>
    <cellStyle name="s_Trading Value_1_Comparativo VP TEC 2008_Luiz Sergio" xfId="8864" xr:uid="{00000000-0005-0000-0000-0000CE1F0000}"/>
    <cellStyle name="s_Trading Value_1_Cópia de Modelo - Fluxo de Caixa Orcamento 09052009_V36_3" xfId="5278" xr:uid="{00000000-0005-0000-0000-0000CF1F0000}"/>
    <cellStyle name="s_Trading Value_1_Fluxo de Caixa Orcamento FINAL_13052009" xfId="5279" xr:uid="{00000000-0005-0000-0000-0000D01F0000}"/>
    <cellStyle name="s_Trading Value_1_FM_dummyV4" xfId="5280" xr:uid="{00000000-0005-0000-0000-0000D11F0000}"/>
    <cellStyle name="s_Trading Value_1_lalur" xfId="5281" xr:uid="{00000000-0005-0000-0000-0000D21F0000}"/>
    <cellStyle name="s_Trading Value_1_Leasing_V3" xfId="5282" xr:uid="{00000000-0005-0000-0000-0000D31F0000}"/>
    <cellStyle name="s_Trading Value_1_MODELO PDP III" xfId="5283" xr:uid="{00000000-0005-0000-0000-0000D41F0000}"/>
    <cellStyle name="s_Trading Value_1_ORÇ_2009" xfId="5284" xr:uid="{00000000-0005-0000-0000-0000D51F0000}"/>
    <cellStyle name="s_Trading Value_1_Pasta2" xfId="5285" xr:uid="{00000000-0005-0000-0000-0000D61F0000}"/>
    <cellStyle name="s_Trading Value_2" xfId="5286" xr:uid="{00000000-0005-0000-0000-0000D71F0000}"/>
    <cellStyle name="s_Trading Value_2_Comparativo VP FIN v1_So 2008" xfId="8865" xr:uid="{00000000-0005-0000-0000-0000D81F0000}"/>
    <cellStyle name="s_Trading Value_2_Comparativo VP MKT 2008 v1_So 2008" xfId="8866" xr:uid="{00000000-0005-0000-0000-0000D91F0000}"/>
    <cellStyle name="s_Trading Value_2_Comparativo VP TEC 2008 v1_So 2008" xfId="8867" xr:uid="{00000000-0005-0000-0000-0000DA1F0000}"/>
    <cellStyle name="s_Trading Value_2_Comparativo VP TEC 2008_Luiz Sergio" xfId="8868" xr:uid="{00000000-0005-0000-0000-0000DB1F0000}"/>
    <cellStyle name="s_Trading Value_2_Cópia de Modelo - Fluxo de Caixa Orcamento 09052009_V36_3" xfId="5287" xr:uid="{00000000-0005-0000-0000-0000DC1F0000}"/>
    <cellStyle name="s_Trading Value_2_Fluxo de Caixa Orcamento FINAL_13052009" xfId="5288" xr:uid="{00000000-0005-0000-0000-0000DD1F0000}"/>
    <cellStyle name="s_Trading Value_2_FM_dummyV4" xfId="5289" xr:uid="{00000000-0005-0000-0000-0000DE1F0000}"/>
    <cellStyle name="s_Trading Value_2_lalur" xfId="5290" xr:uid="{00000000-0005-0000-0000-0000DF1F0000}"/>
    <cellStyle name="s_Trading Value_2_Leasing_V3" xfId="5291" xr:uid="{00000000-0005-0000-0000-0000E01F0000}"/>
    <cellStyle name="s_Trading Value_2_MODELO PDP III" xfId="5292" xr:uid="{00000000-0005-0000-0000-0000E11F0000}"/>
    <cellStyle name="s_Trading Value_2_ORÇ_2009" xfId="5293" xr:uid="{00000000-0005-0000-0000-0000E21F0000}"/>
    <cellStyle name="s_Trading Value_2_Pasta2" xfId="5294" xr:uid="{00000000-0005-0000-0000-0000E31F0000}"/>
    <cellStyle name="s_Trading Value_Comparativo VP FIN v1_So 2008" xfId="8869" xr:uid="{00000000-0005-0000-0000-0000E41F0000}"/>
    <cellStyle name="s_Trading Value_Comparativo VP MKT 2008 v1_So 2008" xfId="8870" xr:uid="{00000000-0005-0000-0000-0000E51F0000}"/>
    <cellStyle name="s_Trading Value_Comparativo VP TEC 2008 v1_So 2008" xfId="8871" xr:uid="{00000000-0005-0000-0000-0000E61F0000}"/>
    <cellStyle name="s_Trading Value_Comparativo VP TEC 2008_Luiz Sergio" xfId="8872" xr:uid="{00000000-0005-0000-0000-0000E71F0000}"/>
    <cellStyle name="s_Trading Value_Cópia de Modelo - Fluxo de Caixa Orcamento 09052009_V36_3" xfId="5295" xr:uid="{00000000-0005-0000-0000-0000E81F0000}"/>
    <cellStyle name="s_Trading Value_Fluxo de Caixa Orcamento FINAL_13052009" xfId="5296" xr:uid="{00000000-0005-0000-0000-0000E91F0000}"/>
    <cellStyle name="s_Trading Value_FM_dummyV4" xfId="5297" xr:uid="{00000000-0005-0000-0000-0000EA1F0000}"/>
    <cellStyle name="s_Trading Value_lalur" xfId="5298" xr:uid="{00000000-0005-0000-0000-0000EB1F0000}"/>
    <cellStyle name="s_Trading Value_Leasing_V3" xfId="5299" xr:uid="{00000000-0005-0000-0000-0000EC1F0000}"/>
    <cellStyle name="s_Trading Value_MODELO PDP III" xfId="5300" xr:uid="{00000000-0005-0000-0000-0000ED1F0000}"/>
    <cellStyle name="s_Trading Value_ORÇ_2009" xfId="5301" xr:uid="{00000000-0005-0000-0000-0000EE1F0000}"/>
    <cellStyle name="s_Trading Value_Pasta2" xfId="5302" xr:uid="{00000000-0005-0000-0000-0000EF1F0000}"/>
    <cellStyle name="s_Trans Assump" xfId="5303" xr:uid="{00000000-0005-0000-0000-0000F01F0000}"/>
    <cellStyle name="s_Trans Assump (2)" xfId="5304" xr:uid="{00000000-0005-0000-0000-0000F11F0000}"/>
    <cellStyle name="s_Trans Assump (2)_1" xfId="5305" xr:uid="{00000000-0005-0000-0000-0000F21F0000}"/>
    <cellStyle name="s_Trans Assump (2)_1_Comparativo VP FIN v1_So 2008" xfId="8873" xr:uid="{00000000-0005-0000-0000-0000F31F0000}"/>
    <cellStyle name="s_Trans Assump (2)_1_Comparativo VP MKT 2008 v1_So 2008" xfId="8874" xr:uid="{00000000-0005-0000-0000-0000F41F0000}"/>
    <cellStyle name="s_Trans Assump (2)_1_Comparativo VP TEC 2008 v1_So 2008" xfId="8875" xr:uid="{00000000-0005-0000-0000-0000F51F0000}"/>
    <cellStyle name="s_Trans Assump (2)_1_Comparativo VP TEC 2008_Luiz Sergio" xfId="8876" xr:uid="{00000000-0005-0000-0000-0000F61F0000}"/>
    <cellStyle name="s_Trans Assump (2)_1_Cópia de Modelo - Fluxo de Caixa Orcamento 09052009_V36_3" xfId="5306" xr:uid="{00000000-0005-0000-0000-0000F71F0000}"/>
    <cellStyle name="s_Trans Assump (2)_1_Fluxo de Caixa Orcamento FINAL_13052009" xfId="5307" xr:uid="{00000000-0005-0000-0000-0000F81F0000}"/>
    <cellStyle name="s_Trans Assump (2)_1_FM_dummyV4" xfId="5308" xr:uid="{00000000-0005-0000-0000-0000F91F0000}"/>
    <cellStyle name="s_Trans Assump (2)_1_lalur" xfId="5309" xr:uid="{00000000-0005-0000-0000-0000FA1F0000}"/>
    <cellStyle name="s_Trans Assump (2)_1_Leasing_V3" xfId="5310" xr:uid="{00000000-0005-0000-0000-0000FB1F0000}"/>
    <cellStyle name="s_Trans Assump (2)_1_MODELO PDP III" xfId="5311" xr:uid="{00000000-0005-0000-0000-0000FC1F0000}"/>
    <cellStyle name="s_Trans Assump (2)_1_ORÇ_2009" xfId="5312" xr:uid="{00000000-0005-0000-0000-0000FD1F0000}"/>
    <cellStyle name="s_Trans Assump (2)_1_Pasta2" xfId="5313" xr:uid="{00000000-0005-0000-0000-0000FE1F0000}"/>
    <cellStyle name="s_Trans Assump (2)_Comparativo VP FIN v1_So 2008" xfId="8877" xr:uid="{00000000-0005-0000-0000-0000FF1F0000}"/>
    <cellStyle name="s_Trans Assump (2)_Comparativo VP MKT 2008 v1_So 2008" xfId="8878" xr:uid="{00000000-0005-0000-0000-000000200000}"/>
    <cellStyle name="s_Trans Assump (2)_Comparativo VP TEC 2008 v1_So 2008" xfId="8879" xr:uid="{00000000-0005-0000-0000-000001200000}"/>
    <cellStyle name="s_Trans Assump (2)_Comparativo VP TEC 2008_Luiz Sergio" xfId="8880" xr:uid="{00000000-0005-0000-0000-000002200000}"/>
    <cellStyle name="s_Trans Assump (2)_Cópia de Modelo - Fluxo de Caixa Orcamento 09052009_V36_3" xfId="5314" xr:uid="{00000000-0005-0000-0000-000003200000}"/>
    <cellStyle name="s_Trans Assump (2)_Fluxo de Caixa Orcamento FINAL_13052009" xfId="5315" xr:uid="{00000000-0005-0000-0000-000004200000}"/>
    <cellStyle name="s_Trans Assump (2)_FM_dummyV4" xfId="5316" xr:uid="{00000000-0005-0000-0000-000005200000}"/>
    <cellStyle name="s_Trans Assump (2)_lalur" xfId="5317" xr:uid="{00000000-0005-0000-0000-000006200000}"/>
    <cellStyle name="s_Trans Assump (2)_Leasing_V3" xfId="5318" xr:uid="{00000000-0005-0000-0000-000007200000}"/>
    <cellStyle name="s_Trans Assump (2)_MODELO PDP III" xfId="5319" xr:uid="{00000000-0005-0000-0000-000008200000}"/>
    <cellStyle name="s_Trans Assump (2)_ORÇ_2009" xfId="5320" xr:uid="{00000000-0005-0000-0000-000009200000}"/>
    <cellStyle name="s_Trans Assump (2)_Pasta2" xfId="5321" xr:uid="{00000000-0005-0000-0000-00000A200000}"/>
    <cellStyle name="s_Trans Assump_1" xfId="5322" xr:uid="{00000000-0005-0000-0000-00000B200000}"/>
    <cellStyle name="s_Trans Assump_1_AM0909" xfId="5323" xr:uid="{00000000-0005-0000-0000-00000C200000}"/>
    <cellStyle name="s_Trans Assump_1_AM0909_Comparativo VP FIN v1_So 2008" xfId="8881" xr:uid="{00000000-0005-0000-0000-00000D200000}"/>
    <cellStyle name="s_Trans Assump_1_AM0909_Comparativo VP MKT 2008 v1_So 2008" xfId="8882" xr:uid="{00000000-0005-0000-0000-00000E200000}"/>
    <cellStyle name="s_Trans Assump_1_AM0909_Comparativo VP TEC 2008 v1_So 2008" xfId="8883" xr:uid="{00000000-0005-0000-0000-00000F200000}"/>
    <cellStyle name="s_Trans Assump_1_AM0909_Comparativo VP TEC 2008_Luiz Sergio" xfId="8884" xr:uid="{00000000-0005-0000-0000-000010200000}"/>
    <cellStyle name="s_Trans Assump_1_AM0909_Cópia de Modelo - Fluxo de Caixa Orcamento 09052009_V36_3" xfId="5324" xr:uid="{00000000-0005-0000-0000-000011200000}"/>
    <cellStyle name="s_Trans Assump_1_AM0909_Fluxo de Caixa Orcamento FINAL_13052009" xfId="5325" xr:uid="{00000000-0005-0000-0000-000012200000}"/>
    <cellStyle name="s_Trans Assump_1_AM0909_FM_dummyV4" xfId="5326" xr:uid="{00000000-0005-0000-0000-000013200000}"/>
    <cellStyle name="s_Trans Assump_1_AM0909_lalur" xfId="5327" xr:uid="{00000000-0005-0000-0000-000014200000}"/>
    <cellStyle name="s_Trans Assump_1_AM0909_Leasing_V3" xfId="5328" xr:uid="{00000000-0005-0000-0000-000015200000}"/>
    <cellStyle name="s_Trans Assump_1_AM0909_MODELO PDP III" xfId="5329" xr:uid="{00000000-0005-0000-0000-000016200000}"/>
    <cellStyle name="s_Trans Assump_1_AM0909_ORÇ_2009" xfId="5330" xr:uid="{00000000-0005-0000-0000-000017200000}"/>
    <cellStyle name="s_Trans Assump_1_AM0909_Pasta2" xfId="5331" xr:uid="{00000000-0005-0000-0000-000018200000}"/>
    <cellStyle name="s_Trans Assump_1_Brenner" xfId="5332" xr:uid="{00000000-0005-0000-0000-000019200000}"/>
    <cellStyle name="s_Trans Assump_1_Brenner_Comparativo VP FIN v1_So 2008" xfId="8885" xr:uid="{00000000-0005-0000-0000-00001A200000}"/>
    <cellStyle name="s_Trans Assump_1_Brenner_Comparativo VP MKT 2008 v1_So 2008" xfId="8886" xr:uid="{00000000-0005-0000-0000-00001B200000}"/>
    <cellStyle name="s_Trans Assump_1_Brenner_Comparativo VP TEC 2008 v1_So 2008" xfId="8887" xr:uid="{00000000-0005-0000-0000-00001C200000}"/>
    <cellStyle name="s_Trans Assump_1_Brenner_Comparativo VP TEC 2008_Luiz Sergio" xfId="8888" xr:uid="{00000000-0005-0000-0000-00001D200000}"/>
    <cellStyle name="s_Trans Assump_1_Brenner_Cópia de Modelo - Fluxo de Caixa Orcamento 09052009_V36_3" xfId="5333" xr:uid="{00000000-0005-0000-0000-00001E200000}"/>
    <cellStyle name="s_Trans Assump_1_Brenner_Fluxo de Caixa Orcamento FINAL_13052009" xfId="5334" xr:uid="{00000000-0005-0000-0000-00001F200000}"/>
    <cellStyle name="s_Trans Assump_1_Brenner_FM_dummyV4" xfId="5335" xr:uid="{00000000-0005-0000-0000-000020200000}"/>
    <cellStyle name="s_Trans Assump_1_Brenner_lalur" xfId="5336" xr:uid="{00000000-0005-0000-0000-000021200000}"/>
    <cellStyle name="s_Trans Assump_1_Brenner_Leasing_V3" xfId="5337" xr:uid="{00000000-0005-0000-0000-000022200000}"/>
    <cellStyle name="s_Trans Assump_1_Brenner_MODELO PDP III" xfId="5338" xr:uid="{00000000-0005-0000-0000-000023200000}"/>
    <cellStyle name="s_Trans Assump_1_Brenner_ORÇ_2009" xfId="5339" xr:uid="{00000000-0005-0000-0000-000024200000}"/>
    <cellStyle name="s_Trans Assump_1_Brenner_Pasta2" xfId="5340" xr:uid="{00000000-0005-0000-0000-000025200000}"/>
    <cellStyle name="s_Trans Assump_1_Comparativo VP FIN v1_So 2008" xfId="8889" xr:uid="{00000000-0005-0000-0000-000026200000}"/>
    <cellStyle name="s_Trans Assump_1_Comparativo VP MKT 2008 v1_So 2008" xfId="8890" xr:uid="{00000000-0005-0000-0000-000027200000}"/>
    <cellStyle name="s_Trans Assump_1_Comparativo VP TEC 2008 v1_So 2008" xfId="8891" xr:uid="{00000000-0005-0000-0000-000028200000}"/>
    <cellStyle name="s_Trans Assump_1_Comparativo VP TEC 2008_Luiz Sergio" xfId="8892" xr:uid="{00000000-0005-0000-0000-000029200000}"/>
    <cellStyle name="s_Trans Assump_1_Cópia de Modelo - Fluxo de Caixa Orcamento 09052009_V36_3" xfId="5341" xr:uid="{00000000-0005-0000-0000-00002A200000}"/>
    <cellStyle name="s_Trans Assump_1_Fluxo de Caixa Orcamento FINAL_13052009" xfId="5342" xr:uid="{00000000-0005-0000-0000-00002B200000}"/>
    <cellStyle name="s_Trans Assump_1_FM_dummyV4" xfId="5343" xr:uid="{00000000-0005-0000-0000-00002C200000}"/>
    <cellStyle name="s_Trans Assump_1_lalur" xfId="5344" xr:uid="{00000000-0005-0000-0000-00002D200000}"/>
    <cellStyle name="s_Trans Assump_1_Leasing_V3" xfId="5345" xr:uid="{00000000-0005-0000-0000-00002E200000}"/>
    <cellStyle name="s_Trans Assump_1_MODELO PDP III" xfId="5346" xr:uid="{00000000-0005-0000-0000-00002F200000}"/>
    <cellStyle name="s_Trans Assump_1_ORÇ_2009" xfId="5347" xr:uid="{00000000-0005-0000-0000-000030200000}"/>
    <cellStyle name="s_Trans Assump_1_Pasta2" xfId="5348" xr:uid="{00000000-0005-0000-0000-000031200000}"/>
    <cellStyle name="s_Trans Assump_2" xfId="5349" xr:uid="{00000000-0005-0000-0000-000032200000}"/>
    <cellStyle name="s_Trans Assump_2_Comparativo VP FIN v1_So 2008" xfId="8893" xr:uid="{00000000-0005-0000-0000-000033200000}"/>
    <cellStyle name="s_Trans Assump_2_Comparativo VP MKT 2008 v1_So 2008" xfId="8894" xr:uid="{00000000-0005-0000-0000-000034200000}"/>
    <cellStyle name="s_Trans Assump_2_Comparativo VP TEC 2008 v1_So 2008" xfId="8895" xr:uid="{00000000-0005-0000-0000-000035200000}"/>
    <cellStyle name="s_Trans Assump_2_Comparativo VP TEC 2008_Luiz Sergio" xfId="8896" xr:uid="{00000000-0005-0000-0000-000036200000}"/>
    <cellStyle name="s_Trans Assump_2_Cópia de Modelo - Fluxo de Caixa Orcamento 09052009_V36_3" xfId="5350" xr:uid="{00000000-0005-0000-0000-000037200000}"/>
    <cellStyle name="s_Trans Assump_2_Fluxo de Caixa Orcamento FINAL_13052009" xfId="5351" xr:uid="{00000000-0005-0000-0000-000038200000}"/>
    <cellStyle name="s_Trans Assump_2_FM_dummyV4" xfId="5352" xr:uid="{00000000-0005-0000-0000-000039200000}"/>
    <cellStyle name="s_Trans Assump_2_lalur" xfId="5353" xr:uid="{00000000-0005-0000-0000-00003A200000}"/>
    <cellStyle name="s_Trans Assump_2_Leasing_V3" xfId="5354" xr:uid="{00000000-0005-0000-0000-00003B200000}"/>
    <cellStyle name="s_Trans Assump_2_MODELO PDP III" xfId="5355" xr:uid="{00000000-0005-0000-0000-00003C200000}"/>
    <cellStyle name="s_Trans Assump_2_ORÇ_2009" xfId="5356" xr:uid="{00000000-0005-0000-0000-00003D200000}"/>
    <cellStyle name="s_Trans Assump_2_Pasta2" xfId="5357" xr:uid="{00000000-0005-0000-0000-00003E200000}"/>
    <cellStyle name="s_Trans Assump_AM0909" xfId="5358" xr:uid="{00000000-0005-0000-0000-00003F200000}"/>
    <cellStyle name="s_Trans Assump_AM0909_Comparativo VP FIN v1_So 2008" xfId="8897" xr:uid="{00000000-0005-0000-0000-000040200000}"/>
    <cellStyle name="s_Trans Assump_AM0909_Comparativo VP MKT 2008 v1_So 2008" xfId="8898" xr:uid="{00000000-0005-0000-0000-000041200000}"/>
    <cellStyle name="s_Trans Assump_AM0909_Comparativo VP TEC 2008 v1_So 2008" xfId="8899" xr:uid="{00000000-0005-0000-0000-000042200000}"/>
    <cellStyle name="s_Trans Assump_AM0909_Comparativo VP TEC 2008_Luiz Sergio" xfId="8900" xr:uid="{00000000-0005-0000-0000-000043200000}"/>
    <cellStyle name="s_Trans Assump_AM0909_Cópia de Modelo - Fluxo de Caixa Orcamento 09052009_V36_3" xfId="5359" xr:uid="{00000000-0005-0000-0000-000044200000}"/>
    <cellStyle name="s_Trans Assump_AM0909_Fluxo de Caixa Orcamento FINAL_13052009" xfId="5360" xr:uid="{00000000-0005-0000-0000-000045200000}"/>
    <cellStyle name="s_Trans Assump_AM0909_FM_dummyV4" xfId="5361" xr:uid="{00000000-0005-0000-0000-000046200000}"/>
    <cellStyle name="s_Trans Assump_AM0909_lalur" xfId="5362" xr:uid="{00000000-0005-0000-0000-000047200000}"/>
    <cellStyle name="s_Trans Assump_AM0909_Leasing_V3" xfId="5363" xr:uid="{00000000-0005-0000-0000-000048200000}"/>
    <cellStyle name="s_Trans Assump_AM0909_MODELO PDP III" xfId="5364" xr:uid="{00000000-0005-0000-0000-000049200000}"/>
    <cellStyle name="s_Trans Assump_AM0909_ORÇ_2009" xfId="5365" xr:uid="{00000000-0005-0000-0000-00004A200000}"/>
    <cellStyle name="s_Trans Assump_AM0909_Pasta2" xfId="5366" xr:uid="{00000000-0005-0000-0000-00004B200000}"/>
    <cellStyle name="s_Trans Assump_Brenner" xfId="5367" xr:uid="{00000000-0005-0000-0000-00004C200000}"/>
    <cellStyle name="s_Trans Assump_Brenner_Comparativo VP FIN v1_So 2008" xfId="8901" xr:uid="{00000000-0005-0000-0000-00004D200000}"/>
    <cellStyle name="s_Trans Assump_Brenner_Comparativo VP MKT 2008 v1_So 2008" xfId="8902" xr:uid="{00000000-0005-0000-0000-00004E200000}"/>
    <cellStyle name="s_Trans Assump_Brenner_Comparativo VP TEC 2008 v1_So 2008" xfId="8903" xr:uid="{00000000-0005-0000-0000-00004F200000}"/>
    <cellStyle name="s_Trans Assump_Brenner_Comparativo VP TEC 2008_Luiz Sergio" xfId="8904" xr:uid="{00000000-0005-0000-0000-000050200000}"/>
    <cellStyle name="s_Trans Assump_Brenner_Cópia de Modelo - Fluxo de Caixa Orcamento 09052009_V36_3" xfId="5368" xr:uid="{00000000-0005-0000-0000-000051200000}"/>
    <cellStyle name="s_Trans Assump_Brenner_Fluxo de Caixa Orcamento FINAL_13052009" xfId="5369" xr:uid="{00000000-0005-0000-0000-000052200000}"/>
    <cellStyle name="s_Trans Assump_Brenner_FM_dummyV4" xfId="5370" xr:uid="{00000000-0005-0000-0000-000053200000}"/>
    <cellStyle name="s_Trans Assump_Brenner_lalur" xfId="5371" xr:uid="{00000000-0005-0000-0000-000054200000}"/>
    <cellStyle name="s_Trans Assump_Brenner_Leasing_V3" xfId="5372" xr:uid="{00000000-0005-0000-0000-000055200000}"/>
    <cellStyle name="s_Trans Assump_Brenner_MODELO PDP III" xfId="5373" xr:uid="{00000000-0005-0000-0000-000056200000}"/>
    <cellStyle name="s_Trans Assump_Brenner_ORÇ_2009" xfId="5374" xr:uid="{00000000-0005-0000-0000-000057200000}"/>
    <cellStyle name="s_Trans Assump_Brenner_Pasta2" xfId="5375" xr:uid="{00000000-0005-0000-0000-000058200000}"/>
    <cellStyle name="s_Trans Assump_Comparativo VP FIN v1_So 2008" xfId="8905" xr:uid="{00000000-0005-0000-0000-000059200000}"/>
    <cellStyle name="s_Trans Assump_Comparativo VP MKT 2008 v1_So 2008" xfId="8906" xr:uid="{00000000-0005-0000-0000-00005A200000}"/>
    <cellStyle name="s_Trans Assump_Comparativo VP TEC 2008 v1_So 2008" xfId="8907" xr:uid="{00000000-0005-0000-0000-00005B200000}"/>
    <cellStyle name="s_Trans Assump_Comparativo VP TEC 2008_Luiz Sergio" xfId="8908" xr:uid="{00000000-0005-0000-0000-00005C200000}"/>
    <cellStyle name="s_Trans Assump_Cópia de Modelo - Fluxo de Caixa Orcamento 09052009_V36_3" xfId="5376" xr:uid="{00000000-0005-0000-0000-00005D200000}"/>
    <cellStyle name="s_Trans Assump_Fluxo de Caixa Orcamento FINAL_13052009" xfId="5377" xr:uid="{00000000-0005-0000-0000-00005E200000}"/>
    <cellStyle name="s_Trans Assump_FM_dummyV4" xfId="5378" xr:uid="{00000000-0005-0000-0000-00005F200000}"/>
    <cellStyle name="s_Trans Assump_lalur" xfId="5379" xr:uid="{00000000-0005-0000-0000-000060200000}"/>
    <cellStyle name="s_Trans Assump_Leasing_V3" xfId="5380" xr:uid="{00000000-0005-0000-0000-000061200000}"/>
    <cellStyle name="s_Trans Assump_MODELO PDP III" xfId="5381" xr:uid="{00000000-0005-0000-0000-000062200000}"/>
    <cellStyle name="s_Trans Assump_ORÇ_2009" xfId="5382" xr:uid="{00000000-0005-0000-0000-000063200000}"/>
    <cellStyle name="s_Trans Assump_Pasta2" xfId="5383" xr:uid="{00000000-0005-0000-0000-000064200000}"/>
    <cellStyle name="s_Trans Assump_Trans Sum" xfId="5384" xr:uid="{00000000-0005-0000-0000-000065200000}"/>
    <cellStyle name="s_Trans Assump_Trans Sum_Comparativo VP FIN v1_So 2008" xfId="8909" xr:uid="{00000000-0005-0000-0000-000066200000}"/>
    <cellStyle name="s_Trans Assump_Trans Sum_Comparativo VP MKT 2008 v1_So 2008" xfId="8910" xr:uid="{00000000-0005-0000-0000-000067200000}"/>
    <cellStyle name="s_Trans Assump_Trans Sum_Comparativo VP TEC 2008 v1_So 2008" xfId="8911" xr:uid="{00000000-0005-0000-0000-000068200000}"/>
    <cellStyle name="s_Trans Assump_Trans Sum_Comparativo VP TEC 2008_Luiz Sergio" xfId="8912" xr:uid="{00000000-0005-0000-0000-000069200000}"/>
    <cellStyle name="s_Trans Assump_Trans Sum_Cópia de Modelo - Fluxo de Caixa Orcamento 09052009_V36_3" xfId="5385" xr:uid="{00000000-0005-0000-0000-00006A200000}"/>
    <cellStyle name="s_Trans Assump_Trans Sum_Fluxo de Caixa Orcamento FINAL_13052009" xfId="5386" xr:uid="{00000000-0005-0000-0000-00006B200000}"/>
    <cellStyle name="s_Trans Assump_Trans Sum_FM_dummyV4" xfId="5387" xr:uid="{00000000-0005-0000-0000-00006C200000}"/>
    <cellStyle name="s_Trans Assump_Trans Sum_lalur" xfId="5388" xr:uid="{00000000-0005-0000-0000-00006D200000}"/>
    <cellStyle name="s_Trans Assump_Trans Sum_Leasing_V3" xfId="5389" xr:uid="{00000000-0005-0000-0000-00006E200000}"/>
    <cellStyle name="s_Trans Assump_Trans Sum_MODELO PDP III" xfId="5390" xr:uid="{00000000-0005-0000-0000-00006F200000}"/>
    <cellStyle name="s_Trans Assump_Trans Sum_ORÇ_2009" xfId="5391" xr:uid="{00000000-0005-0000-0000-000070200000}"/>
    <cellStyle name="s_Trans Assump_Trans Sum_Pasta2" xfId="5392" xr:uid="{00000000-0005-0000-0000-000071200000}"/>
    <cellStyle name="s_Trans Sum" xfId="5393" xr:uid="{00000000-0005-0000-0000-000072200000}"/>
    <cellStyle name="s_Trans Sum_1" xfId="5394" xr:uid="{00000000-0005-0000-0000-000073200000}"/>
    <cellStyle name="s_Trans Sum_1_Comparativo VP FIN v1_So 2008" xfId="8913" xr:uid="{00000000-0005-0000-0000-000074200000}"/>
    <cellStyle name="s_Trans Sum_1_Comparativo VP MKT 2008 v1_So 2008" xfId="8914" xr:uid="{00000000-0005-0000-0000-000075200000}"/>
    <cellStyle name="s_Trans Sum_1_Comparativo VP TEC 2008 v1_So 2008" xfId="8915" xr:uid="{00000000-0005-0000-0000-000076200000}"/>
    <cellStyle name="s_Trans Sum_1_Comparativo VP TEC 2008_Luiz Sergio" xfId="8916" xr:uid="{00000000-0005-0000-0000-000077200000}"/>
    <cellStyle name="s_Trans Sum_1_Cópia de Modelo - Fluxo de Caixa Orcamento 09052009_V36_3" xfId="5395" xr:uid="{00000000-0005-0000-0000-000078200000}"/>
    <cellStyle name="s_Trans Sum_1_Fluxo de Caixa Orcamento FINAL_13052009" xfId="5396" xr:uid="{00000000-0005-0000-0000-000079200000}"/>
    <cellStyle name="s_Trans Sum_1_FM_dummyV4" xfId="5397" xr:uid="{00000000-0005-0000-0000-00007A200000}"/>
    <cellStyle name="s_Trans Sum_1_lalur" xfId="5398" xr:uid="{00000000-0005-0000-0000-00007B200000}"/>
    <cellStyle name="s_Trans Sum_1_Leasing_V3" xfId="5399" xr:uid="{00000000-0005-0000-0000-00007C200000}"/>
    <cellStyle name="s_Trans Sum_1_MODELO PDP III" xfId="5400" xr:uid="{00000000-0005-0000-0000-00007D200000}"/>
    <cellStyle name="s_Trans Sum_1_ORÇ_2009" xfId="5401" xr:uid="{00000000-0005-0000-0000-00007E200000}"/>
    <cellStyle name="s_Trans Sum_1_Pasta2" xfId="5402" xr:uid="{00000000-0005-0000-0000-00007F200000}"/>
    <cellStyle name="s_Trans Sum_2" xfId="5403" xr:uid="{00000000-0005-0000-0000-000080200000}"/>
    <cellStyle name="s_Trans Sum_2_Comparativo VP FIN v1_So 2008" xfId="8917" xr:uid="{00000000-0005-0000-0000-000081200000}"/>
    <cellStyle name="s_Trans Sum_2_Comparativo VP MKT 2008 v1_So 2008" xfId="8918" xr:uid="{00000000-0005-0000-0000-000082200000}"/>
    <cellStyle name="s_Trans Sum_2_Comparativo VP TEC 2008 v1_So 2008" xfId="8919" xr:uid="{00000000-0005-0000-0000-000083200000}"/>
    <cellStyle name="s_Trans Sum_2_Comparativo VP TEC 2008_Luiz Sergio" xfId="8920" xr:uid="{00000000-0005-0000-0000-000084200000}"/>
    <cellStyle name="s_Trans Sum_2_Cópia de Modelo - Fluxo de Caixa Orcamento 09052009_V36_3" xfId="5404" xr:uid="{00000000-0005-0000-0000-000085200000}"/>
    <cellStyle name="s_Trans Sum_2_Fluxo de Caixa Orcamento FINAL_13052009" xfId="5405" xr:uid="{00000000-0005-0000-0000-000086200000}"/>
    <cellStyle name="s_Trans Sum_2_FM_dummyV4" xfId="5406" xr:uid="{00000000-0005-0000-0000-000087200000}"/>
    <cellStyle name="s_Trans Sum_2_lalur" xfId="5407" xr:uid="{00000000-0005-0000-0000-000088200000}"/>
    <cellStyle name="s_Trans Sum_2_Leasing_V3" xfId="5408" xr:uid="{00000000-0005-0000-0000-000089200000}"/>
    <cellStyle name="s_Trans Sum_2_MODELO PDP III" xfId="5409" xr:uid="{00000000-0005-0000-0000-00008A200000}"/>
    <cellStyle name="s_Trans Sum_2_ORÇ_2009" xfId="5410" xr:uid="{00000000-0005-0000-0000-00008B200000}"/>
    <cellStyle name="s_Trans Sum_2_Pasta2" xfId="5411" xr:uid="{00000000-0005-0000-0000-00008C200000}"/>
    <cellStyle name="s_Trans Sum_Comparativo VP FIN v1_So 2008" xfId="8921" xr:uid="{00000000-0005-0000-0000-00008D200000}"/>
    <cellStyle name="s_Trans Sum_Comparativo VP MKT 2008 v1_So 2008" xfId="8922" xr:uid="{00000000-0005-0000-0000-00008E200000}"/>
    <cellStyle name="s_Trans Sum_Comparativo VP TEC 2008 v1_So 2008" xfId="8923" xr:uid="{00000000-0005-0000-0000-00008F200000}"/>
    <cellStyle name="s_Trans Sum_Comparativo VP TEC 2008_Luiz Sergio" xfId="8924" xr:uid="{00000000-0005-0000-0000-000090200000}"/>
    <cellStyle name="s_Trans Sum_Cópia de Modelo - Fluxo de Caixa Orcamento 09052009_V36_3" xfId="5412" xr:uid="{00000000-0005-0000-0000-000091200000}"/>
    <cellStyle name="s_Trans Sum_Fluxo de Caixa Orcamento FINAL_13052009" xfId="5413" xr:uid="{00000000-0005-0000-0000-000092200000}"/>
    <cellStyle name="s_Trans Sum_FM_dummyV4" xfId="5414" xr:uid="{00000000-0005-0000-0000-000093200000}"/>
    <cellStyle name="s_Trans Sum_lalur" xfId="5415" xr:uid="{00000000-0005-0000-0000-000094200000}"/>
    <cellStyle name="s_Trans Sum_Leasing_V3" xfId="5416" xr:uid="{00000000-0005-0000-0000-000095200000}"/>
    <cellStyle name="s_Trans Sum_MODELO PDP III" xfId="5417" xr:uid="{00000000-0005-0000-0000-000096200000}"/>
    <cellStyle name="s_Trans Sum_ORÇ_2009" xfId="5418" xr:uid="{00000000-0005-0000-0000-000097200000}"/>
    <cellStyle name="s_Trans Sum_Pasta2" xfId="5419" xr:uid="{00000000-0005-0000-0000-000098200000}"/>
    <cellStyle name="s_Trans Sum_Trans Assump" xfId="5420" xr:uid="{00000000-0005-0000-0000-000099200000}"/>
    <cellStyle name="s_Trans Sum_Trans Assump_Comparativo VP FIN v1_So 2008" xfId="8925" xr:uid="{00000000-0005-0000-0000-00009A200000}"/>
    <cellStyle name="s_Trans Sum_Trans Assump_Comparativo VP MKT 2008 v1_So 2008" xfId="8926" xr:uid="{00000000-0005-0000-0000-00009B200000}"/>
    <cellStyle name="s_Trans Sum_Trans Assump_Comparativo VP TEC 2008 v1_So 2008" xfId="8927" xr:uid="{00000000-0005-0000-0000-00009C200000}"/>
    <cellStyle name="s_Trans Sum_Trans Assump_Comparativo VP TEC 2008_Luiz Sergio" xfId="8928" xr:uid="{00000000-0005-0000-0000-00009D200000}"/>
    <cellStyle name="s_Trans Sum_Trans Assump_Cópia de Modelo - Fluxo de Caixa Orcamento 09052009_V36_3" xfId="5421" xr:uid="{00000000-0005-0000-0000-00009E200000}"/>
    <cellStyle name="s_Trans Sum_Trans Assump_Fluxo de Caixa Orcamento FINAL_13052009" xfId="5422" xr:uid="{00000000-0005-0000-0000-00009F200000}"/>
    <cellStyle name="s_Trans Sum_Trans Assump_FM_dummyV4" xfId="5423" xr:uid="{00000000-0005-0000-0000-0000A0200000}"/>
    <cellStyle name="s_Trans Sum_Trans Assump_lalur" xfId="5424" xr:uid="{00000000-0005-0000-0000-0000A1200000}"/>
    <cellStyle name="s_Trans Sum_Trans Assump_Leasing_V3" xfId="5425" xr:uid="{00000000-0005-0000-0000-0000A2200000}"/>
    <cellStyle name="s_Trans Sum_Trans Assump_MODELO PDP III" xfId="5426" xr:uid="{00000000-0005-0000-0000-0000A3200000}"/>
    <cellStyle name="s_Trans Sum_Trans Assump_ORÇ_2009" xfId="5427" xr:uid="{00000000-0005-0000-0000-0000A4200000}"/>
    <cellStyle name="s_Trans Sum_Trans Assump_Pasta2" xfId="5428" xr:uid="{00000000-0005-0000-0000-0000A5200000}"/>
    <cellStyle name="s_Unit Price Sen. (2)" xfId="5429" xr:uid="{00000000-0005-0000-0000-0000A6200000}"/>
    <cellStyle name="s_Unit Price Sen. (2)_1" xfId="5430" xr:uid="{00000000-0005-0000-0000-0000A7200000}"/>
    <cellStyle name="s_Unit Price Sen. (2)_1_Comparativo VP FIN v1_So 2008" xfId="8929" xr:uid="{00000000-0005-0000-0000-0000A8200000}"/>
    <cellStyle name="s_Unit Price Sen. (2)_1_Comparativo VP MKT 2008 v1_So 2008" xfId="8930" xr:uid="{00000000-0005-0000-0000-0000A9200000}"/>
    <cellStyle name="s_Unit Price Sen. (2)_1_Comparativo VP TEC 2008 v1_So 2008" xfId="8931" xr:uid="{00000000-0005-0000-0000-0000AA200000}"/>
    <cellStyle name="s_Unit Price Sen. (2)_1_Comparativo VP TEC 2008_Luiz Sergio" xfId="8932" xr:uid="{00000000-0005-0000-0000-0000AB200000}"/>
    <cellStyle name="s_Unit Price Sen. (2)_1_Cópia de Modelo - Fluxo de Caixa Orcamento 09052009_V36_3" xfId="5431" xr:uid="{00000000-0005-0000-0000-0000AC200000}"/>
    <cellStyle name="s_Unit Price Sen. (2)_1_Fluxo de Caixa Orcamento FINAL_13052009" xfId="5432" xr:uid="{00000000-0005-0000-0000-0000AD200000}"/>
    <cellStyle name="s_Unit Price Sen. (2)_1_FM_dummyV4" xfId="5433" xr:uid="{00000000-0005-0000-0000-0000AE200000}"/>
    <cellStyle name="s_Unit Price Sen. (2)_1_lalur" xfId="5434" xr:uid="{00000000-0005-0000-0000-0000AF200000}"/>
    <cellStyle name="s_Unit Price Sen. (2)_1_Leasing_V3" xfId="5435" xr:uid="{00000000-0005-0000-0000-0000B0200000}"/>
    <cellStyle name="s_Unit Price Sen. (2)_1_MODELO PDP III" xfId="5436" xr:uid="{00000000-0005-0000-0000-0000B1200000}"/>
    <cellStyle name="s_Unit Price Sen. (2)_1_ORÇ_2009" xfId="5437" xr:uid="{00000000-0005-0000-0000-0000B2200000}"/>
    <cellStyle name="s_Unit Price Sen. (2)_1_Pasta2" xfId="5438" xr:uid="{00000000-0005-0000-0000-0000B3200000}"/>
    <cellStyle name="s_Unit Price Sen. (2)_2" xfId="5439" xr:uid="{00000000-0005-0000-0000-0000B4200000}"/>
    <cellStyle name="s_Unit Price Sen. (2)_2_Comparativo VP FIN v1_So 2008" xfId="8933" xr:uid="{00000000-0005-0000-0000-0000B5200000}"/>
    <cellStyle name="s_Unit Price Sen. (2)_2_Comparativo VP MKT 2008 v1_So 2008" xfId="8934" xr:uid="{00000000-0005-0000-0000-0000B6200000}"/>
    <cellStyle name="s_Unit Price Sen. (2)_2_Comparativo VP TEC 2008 v1_So 2008" xfId="8935" xr:uid="{00000000-0005-0000-0000-0000B7200000}"/>
    <cellStyle name="s_Unit Price Sen. (2)_2_Comparativo VP TEC 2008_Luiz Sergio" xfId="8936" xr:uid="{00000000-0005-0000-0000-0000B8200000}"/>
    <cellStyle name="s_Unit Price Sen. (2)_2_Cópia de Modelo - Fluxo de Caixa Orcamento 09052009_V36_3" xfId="5440" xr:uid="{00000000-0005-0000-0000-0000B9200000}"/>
    <cellStyle name="s_Unit Price Sen. (2)_2_Fluxo de Caixa Orcamento FINAL_13052009" xfId="5441" xr:uid="{00000000-0005-0000-0000-0000BA200000}"/>
    <cellStyle name="s_Unit Price Sen. (2)_2_FM_dummyV4" xfId="5442" xr:uid="{00000000-0005-0000-0000-0000BB200000}"/>
    <cellStyle name="s_Unit Price Sen. (2)_2_lalur" xfId="5443" xr:uid="{00000000-0005-0000-0000-0000BC200000}"/>
    <cellStyle name="s_Unit Price Sen. (2)_2_Leasing_V3" xfId="5444" xr:uid="{00000000-0005-0000-0000-0000BD200000}"/>
    <cellStyle name="s_Unit Price Sen. (2)_2_MODELO PDP III" xfId="5445" xr:uid="{00000000-0005-0000-0000-0000BE200000}"/>
    <cellStyle name="s_Unit Price Sen. (2)_2_ORÇ_2009" xfId="5446" xr:uid="{00000000-0005-0000-0000-0000BF200000}"/>
    <cellStyle name="s_Unit Price Sen. (2)_2_Pasta2" xfId="5447" xr:uid="{00000000-0005-0000-0000-0000C0200000}"/>
    <cellStyle name="s_Unit Price Sen. (2)_Comparativo VP FIN v1_So 2008" xfId="8937" xr:uid="{00000000-0005-0000-0000-0000C1200000}"/>
    <cellStyle name="s_Unit Price Sen. (2)_Comparativo VP MKT 2008 v1_So 2008" xfId="8938" xr:uid="{00000000-0005-0000-0000-0000C2200000}"/>
    <cellStyle name="s_Unit Price Sen. (2)_Comparativo VP TEC 2008 v1_So 2008" xfId="8939" xr:uid="{00000000-0005-0000-0000-0000C3200000}"/>
    <cellStyle name="s_Unit Price Sen. (2)_Comparativo VP TEC 2008_Luiz Sergio" xfId="8940" xr:uid="{00000000-0005-0000-0000-0000C4200000}"/>
    <cellStyle name="s_Unit Price Sen. (2)_Cópia de Modelo - Fluxo de Caixa Orcamento 09052009_V36_3" xfId="5448" xr:uid="{00000000-0005-0000-0000-0000C5200000}"/>
    <cellStyle name="s_Unit Price Sen. (2)_Fluxo de Caixa Orcamento FINAL_13052009" xfId="5449" xr:uid="{00000000-0005-0000-0000-0000C6200000}"/>
    <cellStyle name="s_Unit Price Sen. (2)_FM_dummyV4" xfId="5450" xr:uid="{00000000-0005-0000-0000-0000C7200000}"/>
    <cellStyle name="s_Unit Price Sen. (2)_lalur" xfId="5451" xr:uid="{00000000-0005-0000-0000-0000C8200000}"/>
    <cellStyle name="s_Unit Price Sen. (2)_Leasing_V3" xfId="5452" xr:uid="{00000000-0005-0000-0000-0000C9200000}"/>
    <cellStyle name="s_Unit Price Sen. (2)_MODELO PDP III" xfId="5453" xr:uid="{00000000-0005-0000-0000-0000CA200000}"/>
    <cellStyle name="s_Unit Price Sen. (2)_ORÇ_2009" xfId="5454" xr:uid="{00000000-0005-0000-0000-0000CB200000}"/>
    <cellStyle name="s_Unit Price Sen. (2)_Pasta2" xfId="5455" xr:uid="{00000000-0005-0000-0000-0000CC200000}"/>
    <cellStyle name="s_UPVAL9" xfId="5456" xr:uid="{00000000-0005-0000-0000-0000CD200000}"/>
    <cellStyle name="s_UPVAL9_Comparativo VP FIN v1_So 2008" xfId="8941" xr:uid="{00000000-0005-0000-0000-0000CE200000}"/>
    <cellStyle name="s_UPVAL9_Comparativo VP MKT 2008 v1_So 2008" xfId="8942" xr:uid="{00000000-0005-0000-0000-0000CF200000}"/>
    <cellStyle name="s_UPVAL9_Comparativo VP TEC 2008 v1_So 2008" xfId="8943" xr:uid="{00000000-0005-0000-0000-0000D0200000}"/>
    <cellStyle name="s_UPVAL9_Comparativo VP TEC 2008_Luiz Sergio" xfId="8944" xr:uid="{00000000-0005-0000-0000-0000D1200000}"/>
    <cellStyle name="s_UPVAL9_Cópia de Modelo - Fluxo de Caixa Orcamento 09052009_V36_3" xfId="5457" xr:uid="{00000000-0005-0000-0000-0000D2200000}"/>
    <cellStyle name="s_UPVAL9_Fluxo de Caixa Orcamento FINAL_13052009" xfId="5458" xr:uid="{00000000-0005-0000-0000-0000D3200000}"/>
    <cellStyle name="s_UPVAL9_FM_dummyV4" xfId="5459" xr:uid="{00000000-0005-0000-0000-0000D4200000}"/>
    <cellStyle name="s_UPVAL9_lalur" xfId="5460" xr:uid="{00000000-0005-0000-0000-0000D5200000}"/>
    <cellStyle name="s_UPVAL9_Leasing_V3" xfId="5461" xr:uid="{00000000-0005-0000-0000-0000D6200000}"/>
    <cellStyle name="s_UPVAL9_MODELO PDP III" xfId="5462" xr:uid="{00000000-0005-0000-0000-0000D7200000}"/>
    <cellStyle name="s_UPVAL9_ORÇ_2009" xfId="5463" xr:uid="{00000000-0005-0000-0000-0000D8200000}"/>
    <cellStyle name="s_UPVAL9_Pasta2" xfId="5464" xr:uid="{00000000-0005-0000-0000-0000D9200000}"/>
    <cellStyle name="s_Val Anal" xfId="5465" xr:uid="{00000000-0005-0000-0000-0000DA200000}"/>
    <cellStyle name="s_Val Anal_Comparativo VP FIN v1_So 2008" xfId="8945" xr:uid="{00000000-0005-0000-0000-0000DB200000}"/>
    <cellStyle name="s_Val Anal_Comparativo VP MKT 2008 v1_So 2008" xfId="8946" xr:uid="{00000000-0005-0000-0000-0000DC200000}"/>
    <cellStyle name="s_Val Anal_Comparativo VP TEC 2008 v1_So 2008" xfId="8947" xr:uid="{00000000-0005-0000-0000-0000DD200000}"/>
    <cellStyle name="s_Val Anal_Comparativo VP TEC 2008_Luiz Sergio" xfId="8948" xr:uid="{00000000-0005-0000-0000-0000DE200000}"/>
    <cellStyle name="s_Val Anal_Cópia de Modelo - Fluxo de Caixa Orcamento 09052009_V36_3" xfId="5466" xr:uid="{00000000-0005-0000-0000-0000DF200000}"/>
    <cellStyle name="s_Val Anal_Fluxo de Caixa Orcamento FINAL_13052009" xfId="5467" xr:uid="{00000000-0005-0000-0000-0000E0200000}"/>
    <cellStyle name="s_Val Anal_FM_dummyV4" xfId="5468" xr:uid="{00000000-0005-0000-0000-0000E1200000}"/>
    <cellStyle name="s_Val Anal_lalur" xfId="5469" xr:uid="{00000000-0005-0000-0000-0000E2200000}"/>
    <cellStyle name="s_Val Anal_Leasing_V3" xfId="5470" xr:uid="{00000000-0005-0000-0000-0000E3200000}"/>
    <cellStyle name="s_Val Anal_MODELO PDP III" xfId="5471" xr:uid="{00000000-0005-0000-0000-0000E4200000}"/>
    <cellStyle name="s_Val Anal_ORÇ_2009" xfId="5472" xr:uid="{00000000-0005-0000-0000-0000E5200000}"/>
    <cellStyle name="s_Val Anal_Pasta2" xfId="5473" xr:uid="{00000000-0005-0000-0000-0000E6200000}"/>
    <cellStyle name="s_Valuation " xfId="5474" xr:uid="{00000000-0005-0000-0000-0000E7200000}"/>
    <cellStyle name="s_Valuation _Comparativo VP FIN v1_So 2008" xfId="8949" xr:uid="{00000000-0005-0000-0000-0000E8200000}"/>
    <cellStyle name="s_Valuation _Comparativo VP MKT 2008 v1_So 2008" xfId="8950" xr:uid="{00000000-0005-0000-0000-0000E9200000}"/>
    <cellStyle name="s_Valuation _Comparativo VP TEC 2008 v1_So 2008" xfId="8951" xr:uid="{00000000-0005-0000-0000-0000EA200000}"/>
    <cellStyle name="s_Valuation _Comparativo VP TEC 2008_Luiz Sergio" xfId="8952" xr:uid="{00000000-0005-0000-0000-0000EB200000}"/>
    <cellStyle name="s_Valuation _Cópia de Modelo - Fluxo de Caixa Orcamento 09052009_V36_3" xfId="5475" xr:uid="{00000000-0005-0000-0000-0000EC200000}"/>
    <cellStyle name="s_Valuation _DB Dados do Mercado" xfId="8953" xr:uid="{00000000-0005-0000-0000-0000ED200000}"/>
    <cellStyle name="s_Valuation _DB Dados do Mercado_MTM Swap Morgan Stanley" xfId="8954" xr:uid="{00000000-0005-0000-0000-0000EE200000}"/>
    <cellStyle name="s_Valuation _DB Dados do Mercado_MTM Swap Morgan Stanley_MtM Swap Morgan Stanley" xfId="8955" xr:uid="{00000000-0005-0000-0000-0000EF200000}"/>
    <cellStyle name="s_Valuation _DB Dados do Mercado_MTM Swap Morgan Stanley_MtM Swap Morgan Stanley 130109" xfId="8956" xr:uid="{00000000-0005-0000-0000-0000F0200000}"/>
    <cellStyle name="s_Valuation _DB Dados do Mercado_MtM Swap Out08 CF" xfId="8957" xr:uid="{00000000-0005-0000-0000-0000F1200000}"/>
    <cellStyle name="s_Valuation _DB Dados do Mercado_Sistema Cosan" xfId="8958" xr:uid="{00000000-0005-0000-0000-0000F2200000}"/>
    <cellStyle name="s_Valuation _DB Dados do Mercado_Sistema Cosan V2" xfId="8959" xr:uid="{00000000-0005-0000-0000-0000F3200000}"/>
    <cellStyle name="s_Valuation _DB Dados do Mercado_Sistema Cosan V2_20090210 Fechamento Diário" xfId="8960" xr:uid="{00000000-0005-0000-0000-0000F4200000}"/>
    <cellStyle name="s_Valuation _DB Dados do Mercado_Sistema Cosan V2_20090218 Fechamento Diário" xfId="8961" xr:uid="{00000000-0005-0000-0000-0000F5200000}"/>
    <cellStyle name="s_Valuation _DB Dados do Mercado_Sistema Cosan V2_BNP  Sugar #11 +10%" xfId="8962" xr:uid="{00000000-0005-0000-0000-0000F6200000}"/>
    <cellStyle name="s_Valuation _DB Dados do Mercado_Sistema Cosan V2_Dólar" xfId="8963" xr:uid="{00000000-0005-0000-0000-0000F7200000}"/>
    <cellStyle name="s_Valuation _DB Dados do Mercado_Sistema Cosan V2_EXTRAÇÃO EXPOSIÇÃO" xfId="8964" xr:uid="{00000000-0005-0000-0000-0000F8200000}"/>
    <cellStyle name="s_Valuation _DB Dados do Mercado_Sistema Cosan V2_Fimat Sugar #11 +10%" xfId="8965" xr:uid="{00000000-0005-0000-0000-0000F9200000}"/>
    <cellStyle name="s_Valuation _DB Dados do Mercado_Sistema Cosan V2_Fortis  Sugar #11 +10% " xfId="8966" xr:uid="{00000000-0005-0000-0000-0000FA200000}"/>
    <cellStyle name="s_Valuation _DB Dados do Mercado_Sistema Cosan V2_Hencorp Sugar #11 +10%" xfId="8967" xr:uid="{00000000-0005-0000-0000-0000FB200000}"/>
    <cellStyle name="s_Valuation _DB Dados do Mercado_Sistema Cosan V2_Natixis Sugar #11 +10% " xfId="8968" xr:uid="{00000000-0005-0000-0000-0000FC200000}"/>
    <cellStyle name="s_Valuation _DB Dados do Mercado_Sistema Cosan V2_NDF" xfId="8969" xr:uid="{00000000-0005-0000-0000-0000FD200000}"/>
    <cellStyle name="s_Valuation _DB Dados do Mercado_Sistema Cosan V2_Prudential Sugar #11 +10%" xfId="8970" xr:uid="{00000000-0005-0000-0000-0000FE200000}"/>
    <cellStyle name="s_Valuation _DB Dados do Mercado_Sistema Cosan V2_Sistema Cosan" xfId="8971" xr:uid="{00000000-0005-0000-0000-0000FF200000}"/>
    <cellStyle name="s_Valuation _DB Dados do Mercado_Sistema Cosan V2_Sucden Uk Sugar #11 +10%" xfId="8972" xr:uid="{00000000-0005-0000-0000-000000210000}"/>
    <cellStyle name="s_Valuation _DB Dados do Mercado_Sistema Cosan V2_Sugar #11" xfId="8973" xr:uid="{00000000-0005-0000-0000-000001210000}"/>
    <cellStyle name="s_Valuation _DB Dados do Mercado_Sistema Cosan V2_Sugar #11 (2)" xfId="8974" xr:uid="{00000000-0005-0000-0000-000002210000}"/>
    <cellStyle name="s_Valuation _DB Dados do Mercado_Sistema Cosan V2_Sugar #11 (3)" xfId="8975" xr:uid="{00000000-0005-0000-0000-000003210000}"/>
    <cellStyle name="s_Valuation _DB Dados do Mercado_Sistema Cosan V2_Sugar #5" xfId="8976" xr:uid="{00000000-0005-0000-0000-000004210000}"/>
    <cellStyle name="s_Valuation _DB Dados do Mercado_Sistema Cosan V2_Sugar #5 (2)" xfId="8977" xr:uid="{00000000-0005-0000-0000-000005210000}"/>
    <cellStyle name="s_Valuation _DB Dados do Mercado_Sistema Cosan2" xfId="8978" xr:uid="{00000000-0005-0000-0000-000006210000}"/>
    <cellStyle name="s_Valuation _Fluxo de Caixa Orcamento FINAL_13052009" xfId="5476" xr:uid="{00000000-0005-0000-0000-000007210000}"/>
    <cellStyle name="s_Valuation _FM_dummyV4" xfId="5477" xr:uid="{00000000-0005-0000-0000-000008210000}"/>
    <cellStyle name="s_Valuation _lalur" xfId="5478" xr:uid="{00000000-0005-0000-0000-000009210000}"/>
    <cellStyle name="s_Valuation _Leasing_V3" xfId="5479" xr:uid="{00000000-0005-0000-0000-00000A210000}"/>
    <cellStyle name="s_Valuation _MODELO PDP III" xfId="5480" xr:uid="{00000000-0005-0000-0000-00000B210000}"/>
    <cellStyle name="s_Valuation _MTM Swap Morgan Stanley" xfId="8979" xr:uid="{00000000-0005-0000-0000-00000C210000}"/>
    <cellStyle name="s_Valuation _MTM Swap Morgan Stanley_MtM Swap Morgan Stanley" xfId="8980" xr:uid="{00000000-0005-0000-0000-00000D210000}"/>
    <cellStyle name="s_Valuation _MTM Swap Morgan Stanley_MtM Swap Morgan Stanley 130109" xfId="8981" xr:uid="{00000000-0005-0000-0000-00000E210000}"/>
    <cellStyle name="s_Valuation _MtM Swap Out08 CF" xfId="8982" xr:uid="{00000000-0005-0000-0000-00000F210000}"/>
    <cellStyle name="s_Valuation _NDF" xfId="8983" xr:uid="{00000000-0005-0000-0000-000010210000}"/>
    <cellStyle name="s_Valuation _NDF_MTM Swap Morgan Stanley" xfId="8984" xr:uid="{00000000-0005-0000-0000-000011210000}"/>
    <cellStyle name="s_Valuation _NDF_MtM Swap Morgan Stanley 130109" xfId="8985" xr:uid="{00000000-0005-0000-0000-000012210000}"/>
    <cellStyle name="s_Valuation _ORÇ_2009" xfId="5481" xr:uid="{00000000-0005-0000-0000-000013210000}"/>
    <cellStyle name="s_Valuation _Pasta2" xfId="5482" xr:uid="{00000000-0005-0000-0000-000014210000}"/>
    <cellStyle name="s_Valuation _Q2 pipeline" xfId="5483" xr:uid="{00000000-0005-0000-0000-000015210000}"/>
    <cellStyle name="s_Valuation _Q2 pipeline 2" xfId="8986" xr:uid="{00000000-0005-0000-0000-000016210000}"/>
    <cellStyle name="s_Valuation _Q2 pipeline_Cópia de Modelo - Fluxo de Caixa Orcamento 09052009_V36_3" xfId="5484" xr:uid="{00000000-0005-0000-0000-000017210000}"/>
    <cellStyle name="s_Valuation _Q2 pipeline_Cópia de Modelo - Fluxo de Caixa Orcamento 09052009_V36_3 2" xfId="8987" xr:uid="{00000000-0005-0000-0000-000018210000}"/>
    <cellStyle name="s_Valuation _Q2 pipeline_Fluxo de Caixa Orcamento FINAL_13052009" xfId="5485" xr:uid="{00000000-0005-0000-0000-000019210000}"/>
    <cellStyle name="s_Valuation _Q2 pipeline_Fluxo de Caixa Orcamento FINAL_13052009 2" xfId="8988" xr:uid="{00000000-0005-0000-0000-00001A210000}"/>
    <cellStyle name="s_Valuation _Q2 pipeline_FM_dummyV4" xfId="5486" xr:uid="{00000000-0005-0000-0000-00001B210000}"/>
    <cellStyle name="s_Valuation _Q2 pipeline_lalur" xfId="5487" xr:uid="{00000000-0005-0000-0000-00001C210000}"/>
    <cellStyle name="s_Valuation _Q2 pipeline_Leasing_V3" xfId="5488" xr:uid="{00000000-0005-0000-0000-00001D210000}"/>
    <cellStyle name="s_Valuation _Q2 pipeline_MODELO PDP III" xfId="5489" xr:uid="{00000000-0005-0000-0000-00001E210000}"/>
    <cellStyle name="s_Valuation _Q2 pipeline_ORÇ_2009" xfId="5490" xr:uid="{00000000-0005-0000-0000-00001F210000}"/>
    <cellStyle name="s_Valuation _Q2 pipeline_ORÇ_2009 2" xfId="8989" xr:uid="{00000000-0005-0000-0000-000020210000}"/>
    <cellStyle name="s_Valuation _Q2 pipeline_Pasta2" xfId="5491" xr:uid="{00000000-0005-0000-0000-000021210000}"/>
    <cellStyle name="s_Valuation _Q2 pipeline_Pasta2 2" xfId="8990" xr:uid="{00000000-0005-0000-0000-000022210000}"/>
    <cellStyle name="s_Valuation _Sheet1" xfId="8991" xr:uid="{00000000-0005-0000-0000-000023210000}"/>
    <cellStyle name="s_Valuation _Sheet1_MTM Swap Morgan Stanley" xfId="8992" xr:uid="{00000000-0005-0000-0000-000024210000}"/>
    <cellStyle name="s_Valuation _Sheet1_MtM Swap Morgan Stanley 130109" xfId="8993" xr:uid="{00000000-0005-0000-0000-000025210000}"/>
    <cellStyle name="s_Valuation _Sheet3" xfId="8994" xr:uid="{00000000-0005-0000-0000-000026210000}"/>
    <cellStyle name="s_Valuation _Sheet3_MTM Swap Morgan Stanley" xfId="8995" xr:uid="{00000000-0005-0000-0000-000027210000}"/>
    <cellStyle name="s_Valuation _Sheet3_MtM Swap Morgan Stanley 130109" xfId="8996" xr:uid="{00000000-0005-0000-0000-000028210000}"/>
    <cellStyle name="s_Valuation _Swap - Fluxo Caixa" xfId="8997" xr:uid="{00000000-0005-0000-0000-000029210000}"/>
    <cellStyle name="s_Valuation _Swap - Fluxo Caixa_MTM Swap Morgan Stanley" xfId="8998" xr:uid="{00000000-0005-0000-0000-00002A210000}"/>
    <cellStyle name="s_Valuation _Swap - Fluxo Caixa_MtM Swap Morgan Stanley 130109" xfId="8999" xr:uid="{00000000-0005-0000-0000-00002B210000}"/>
    <cellStyle name="s_Valuation Matrix" xfId="5492" xr:uid="{00000000-0005-0000-0000-00002C210000}"/>
    <cellStyle name="s_Valuation Matrix_Comparativo VP FIN v1_So 2008" xfId="9000" xr:uid="{00000000-0005-0000-0000-00002D210000}"/>
    <cellStyle name="s_Valuation Matrix_Comparativo VP MKT 2008 v1_So 2008" xfId="9001" xr:uid="{00000000-0005-0000-0000-00002E210000}"/>
    <cellStyle name="s_Valuation Matrix_Comparativo VP TEC 2008 v1_So 2008" xfId="9002" xr:uid="{00000000-0005-0000-0000-00002F210000}"/>
    <cellStyle name="s_Valuation Matrix_Comparativo VP TEC 2008_Luiz Sergio" xfId="9003" xr:uid="{00000000-0005-0000-0000-000030210000}"/>
    <cellStyle name="s_Valuation Matrix_Cópia de Modelo - Fluxo de Caixa Orcamento 09052009_V36_3" xfId="5493" xr:uid="{00000000-0005-0000-0000-000031210000}"/>
    <cellStyle name="s_Valuation Matrix_Fluxo de Caixa Orcamento FINAL_13052009" xfId="5494" xr:uid="{00000000-0005-0000-0000-000032210000}"/>
    <cellStyle name="s_Valuation Matrix_FM_dummyV4" xfId="5495" xr:uid="{00000000-0005-0000-0000-000033210000}"/>
    <cellStyle name="s_Valuation Matrix_lalur" xfId="5496" xr:uid="{00000000-0005-0000-0000-000034210000}"/>
    <cellStyle name="s_Valuation Matrix_Leasing_V3" xfId="5497" xr:uid="{00000000-0005-0000-0000-000035210000}"/>
    <cellStyle name="s_Valuation Matrix_MODELO PDP III" xfId="5498" xr:uid="{00000000-0005-0000-0000-000036210000}"/>
    <cellStyle name="s_Valuation Matrix_ORÇ_2009" xfId="5499" xr:uid="{00000000-0005-0000-0000-000037210000}"/>
    <cellStyle name="s_Valuation Matrix_Pasta2" xfId="5500" xr:uid="{00000000-0005-0000-0000-000038210000}"/>
    <cellStyle name="s_Valuation Summary" xfId="5501" xr:uid="{00000000-0005-0000-0000-000039210000}"/>
    <cellStyle name="s_Valuation Summary (2)" xfId="5502" xr:uid="{00000000-0005-0000-0000-00003A210000}"/>
    <cellStyle name="s_Valuation Summary (2)_1" xfId="5503" xr:uid="{00000000-0005-0000-0000-00003B210000}"/>
    <cellStyle name="s_Valuation Summary (2)_1_Celtic DCF" xfId="5504" xr:uid="{00000000-0005-0000-0000-00003C210000}"/>
    <cellStyle name="s_Valuation Summary (2)_1_Celtic DCF Inputs" xfId="5505" xr:uid="{00000000-0005-0000-0000-00003D210000}"/>
    <cellStyle name="s_Valuation Summary (2)_1_Celtic DCF Inputs_Comparativo VP FIN v1_So 2008" xfId="9004" xr:uid="{00000000-0005-0000-0000-00003E210000}"/>
    <cellStyle name="s_Valuation Summary (2)_1_Celtic DCF Inputs_Comparativo VP MKT 2008 v1_So 2008" xfId="9005" xr:uid="{00000000-0005-0000-0000-00003F210000}"/>
    <cellStyle name="s_Valuation Summary (2)_1_Celtic DCF Inputs_Comparativo VP TEC 2008 v1_So 2008" xfId="9006" xr:uid="{00000000-0005-0000-0000-000040210000}"/>
    <cellStyle name="s_Valuation Summary (2)_1_Celtic DCF Inputs_Comparativo VP TEC 2008_Luiz Sergio" xfId="9007" xr:uid="{00000000-0005-0000-0000-000041210000}"/>
    <cellStyle name="s_Valuation Summary (2)_1_Celtic DCF Inputs_Cópia de Modelo - Fluxo de Caixa Orcamento 09052009_V36_3" xfId="5506" xr:uid="{00000000-0005-0000-0000-000042210000}"/>
    <cellStyle name="s_Valuation Summary (2)_1_Celtic DCF Inputs_Fluxo de Caixa Orcamento FINAL_13052009" xfId="5507" xr:uid="{00000000-0005-0000-0000-000043210000}"/>
    <cellStyle name="s_Valuation Summary (2)_1_Celtic DCF Inputs_FM_dummyV4" xfId="5508" xr:uid="{00000000-0005-0000-0000-000044210000}"/>
    <cellStyle name="s_Valuation Summary (2)_1_Celtic DCF Inputs_lalur" xfId="5509" xr:uid="{00000000-0005-0000-0000-000045210000}"/>
    <cellStyle name="s_Valuation Summary (2)_1_Celtic DCF Inputs_Leasing_V3" xfId="5510" xr:uid="{00000000-0005-0000-0000-000046210000}"/>
    <cellStyle name="s_Valuation Summary (2)_1_Celtic DCF Inputs_MODELO PDP III" xfId="5511" xr:uid="{00000000-0005-0000-0000-000047210000}"/>
    <cellStyle name="s_Valuation Summary (2)_1_Celtic DCF Inputs_ORÇ_2009" xfId="5512" xr:uid="{00000000-0005-0000-0000-000048210000}"/>
    <cellStyle name="s_Valuation Summary (2)_1_Celtic DCF Inputs_Pasta2" xfId="5513" xr:uid="{00000000-0005-0000-0000-000049210000}"/>
    <cellStyle name="s_Valuation Summary (2)_1_Celtic DCF_Comparativo VP FIN v1_So 2008" xfId="9008" xr:uid="{00000000-0005-0000-0000-00004A210000}"/>
    <cellStyle name="s_Valuation Summary (2)_1_Celtic DCF_Comparativo VP MKT 2008 v1_So 2008" xfId="9009" xr:uid="{00000000-0005-0000-0000-00004B210000}"/>
    <cellStyle name="s_Valuation Summary (2)_1_Celtic DCF_Comparativo VP TEC 2008 v1_So 2008" xfId="9010" xr:uid="{00000000-0005-0000-0000-00004C210000}"/>
    <cellStyle name="s_Valuation Summary (2)_1_Celtic DCF_Comparativo VP TEC 2008_Luiz Sergio" xfId="9011" xr:uid="{00000000-0005-0000-0000-00004D210000}"/>
    <cellStyle name="s_Valuation Summary (2)_1_Celtic DCF_Cópia de Modelo - Fluxo de Caixa Orcamento 09052009_V36_3" xfId="5514" xr:uid="{00000000-0005-0000-0000-00004E210000}"/>
    <cellStyle name="s_Valuation Summary (2)_1_Celtic DCF_Fluxo de Caixa Orcamento FINAL_13052009" xfId="5515" xr:uid="{00000000-0005-0000-0000-00004F210000}"/>
    <cellStyle name="s_Valuation Summary (2)_1_Celtic DCF_FM_dummyV4" xfId="5516" xr:uid="{00000000-0005-0000-0000-000050210000}"/>
    <cellStyle name="s_Valuation Summary (2)_1_Celtic DCF_lalur" xfId="5517" xr:uid="{00000000-0005-0000-0000-000051210000}"/>
    <cellStyle name="s_Valuation Summary (2)_1_Celtic DCF_Leasing_V3" xfId="5518" xr:uid="{00000000-0005-0000-0000-000052210000}"/>
    <cellStyle name="s_Valuation Summary (2)_1_Celtic DCF_MODELO PDP III" xfId="5519" xr:uid="{00000000-0005-0000-0000-000053210000}"/>
    <cellStyle name="s_Valuation Summary (2)_1_Celtic DCF_ORÇ_2009" xfId="5520" xr:uid="{00000000-0005-0000-0000-000054210000}"/>
    <cellStyle name="s_Valuation Summary (2)_1_Celtic DCF_Pasta2" xfId="5521" xr:uid="{00000000-0005-0000-0000-000055210000}"/>
    <cellStyle name="s_Valuation Summary (2)_1_Comparativo VP FIN v1_So 2008" xfId="9012" xr:uid="{00000000-0005-0000-0000-000056210000}"/>
    <cellStyle name="s_Valuation Summary (2)_1_Comparativo VP MKT 2008 v1_So 2008" xfId="9013" xr:uid="{00000000-0005-0000-0000-000057210000}"/>
    <cellStyle name="s_Valuation Summary (2)_1_Comparativo VP TEC 2008 v1_So 2008" xfId="9014" xr:uid="{00000000-0005-0000-0000-000058210000}"/>
    <cellStyle name="s_Valuation Summary (2)_1_Comparativo VP TEC 2008_Luiz Sergio" xfId="9015" xr:uid="{00000000-0005-0000-0000-000059210000}"/>
    <cellStyle name="s_Valuation Summary (2)_1_Cópia de Modelo - Fluxo de Caixa Orcamento 09052009_V36_3" xfId="5522" xr:uid="{00000000-0005-0000-0000-00005A210000}"/>
    <cellStyle name="s_Valuation Summary (2)_1_Fluxo de Caixa Orcamento FINAL_13052009" xfId="5523" xr:uid="{00000000-0005-0000-0000-00005B210000}"/>
    <cellStyle name="s_Valuation Summary (2)_1_FM_dummyV4" xfId="5524" xr:uid="{00000000-0005-0000-0000-00005C210000}"/>
    <cellStyle name="s_Valuation Summary (2)_1_lalur" xfId="5525" xr:uid="{00000000-0005-0000-0000-00005D210000}"/>
    <cellStyle name="s_Valuation Summary (2)_1_Leasing_V3" xfId="5526" xr:uid="{00000000-0005-0000-0000-00005E210000}"/>
    <cellStyle name="s_Valuation Summary (2)_1_MODELO PDP III" xfId="5527" xr:uid="{00000000-0005-0000-0000-00005F210000}"/>
    <cellStyle name="s_Valuation Summary (2)_1_ORÇ_2009" xfId="5528" xr:uid="{00000000-0005-0000-0000-000060210000}"/>
    <cellStyle name="s_Valuation Summary (2)_1_Pasta2" xfId="5529" xr:uid="{00000000-0005-0000-0000-000061210000}"/>
    <cellStyle name="s_Valuation Summary (2)_1_Valuation Summary" xfId="5530" xr:uid="{00000000-0005-0000-0000-000062210000}"/>
    <cellStyle name="s_Valuation Summary (2)_1_Valuation Summary_Comparativo VP FIN v1_So 2008" xfId="9016" xr:uid="{00000000-0005-0000-0000-000063210000}"/>
    <cellStyle name="s_Valuation Summary (2)_1_Valuation Summary_Comparativo VP MKT 2008 v1_So 2008" xfId="9017" xr:uid="{00000000-0005-0000-0000-000064210000}"/>
    <cellStyle name="s_Valuation Summary (2)_1_Valuation Summary_Comparativo VP TEC 2008 v1_So 2008" xfId="9018" xr:uid="{00000000-0005-0000-0000-000065210000}"/>
    <cellStyle name="s_Valuation Summary (2)_1_Valuation Summary_Comparativo VP TEC 2008_Luiz Sergio" xfId="9019" xr:uid="{00000000-0005-0000-0000-000066210000}"/>
    <cellStyle name="s_Valuation Summary (2)_1_Valuation Summary_Cópia de Modelo - Fluxo de Caixa Orcamento 09052009_V36_3" xfId="5531" xr:uid="{00000000-0005-0000-0000-000067210000}"/>
    <cellStyle name="s_Valuation Summary (2)_1_Valuation Summary_Fluxo de Caixa Orcamento FINAL_13052009" xfId="5532" xr:uid="{00000000-0005-0000-0000-000068210000}"/>
    <cellStyle name="s_Valuation Summary (2)_1_Valuation Summary_FM_dummyV4" xfId="5533" xr:uid="{00000000-0005-0000-0000-000069210000}"/>
    <cellStyle name="s_Valuation Summary (2)_1_Valuation Summary_lalur" xfId="5534" xr:uid="{00000000-0005-0000-0000-00006A210000}"/>
    <cellStyle name="s_Valuation Summary (2)_1_Valuation Summary_Leasing_V3" xfId="5535" xr:uid="{00000000-0005-0000-0000-00006B210000}"/>
    <cellStyle name="s_Valuation Summary (2)_1_Valuation Summary_MODELO PDP III" xfId="5536" xr:uid="{00000000-0005-0000-0000-00006C210000}"/>
    <cellStyle name="s_Valuation Summary (2)_1_Valuation Summary_ORÇ_2009" xfId="5537" xr:uid="{00000000-0005-0000-0000-00006D210000}"/>
    <cellStyle name="s_Valuation Summary (2)_1_Valuation Summary_Pasta2" xfId="5538" xr:uid="{00000000-0005-0000-0000-00006E210000}"/>
    <cellStyle name="s_Valuation Summary (2)_2" xfId="5539" xr:uid="{00000000-0005-0000-0000-00006F210000}"/>
    <cellStyle name="s_Valuation Summary (2)_2_Comparativo VP FIN v1_So 2008" xfId="9020" xr:uid="{00000000-0005-0000-0000-000070210000}"/>
    <cellStyle name="s_Valuation Summary (2)_2_Comparativo VP MKT 2008 v1_So 2008" xfId="9021" xr:uid="{00000000-0005-0000-0000-000071210000}"/>
    <cellStyle name="s_Valuation Summary (2)_2_Comparativo VP TEC 2008 v1_So 2008" xfId="9022" xr:uid="{00000000-0005-0000-0000-000072210000}"/>
    <cellStyle name="s_Valuation Summary (2)_2_Comparativo VP TEC 2008_Luiz Sergio" xfId="9023" xr:uid="{00000000-0005-0000-0000-000073210000}"/>
    <cellStyle name="s_Valuation Summary (2)_2_Cópia de Modelo - Fluxo de Caixa Orcamento 09052009_V36_3" xfId="5540" xr:uid="{00000000-0005-0000-0000-000074210000}"/>
    <cellStyle name="s_Valuation Summary (2)_2_Fluxo de Caixa Orcamento FINAL_13052009" xfId="5541" xr:uid="{00000000-0005-0000-0000-000075210000}"/>
    <cellStyle name="s_Valuation Summary (2)_2_FM_dummyV4" xfId="5542" xr:uid="{00000000-0005-0000-0000-000076210000}"/>
    <cellStyle name="s_Valuation Summary (2)_2_lalur" xfId="5543" xr:uid="{00000000-0005-0000-0000-000077210000}"/>
    <cellStyle name="s_Valuation Summary (2)_2_Leasing_V3" xfId="5544" xr:uid="{00000000-0005-0000-0000-000078210000}"/>
    <cellStyle name="s_Valuation Summary (2)_2_MODELO PDP III" xfId="5545" xr:uid="{00000000-0005-0000-0000-000079210000}"/>
    <cellStyle name="s_Valuation Summary (2)_2_ORÇ_2009" xfId="5546" xr:uid="{00000000-0005-0000-0000-00007A210000}"/>
    <cellStyle name="s_Valuation Summary (2)_2_Pasta2" xfId="5547" xr:uid="{00000000-0005-0000-0000-00007B210000}"/>
    <cellStyle name="s_Valuation Summary (2)_Comparativo VP FIN v1_So 2008" xfId="9024" xr:uid="{00000000-0005-0000-0000-00007C210000}"/>
    <cellStyle name="s_Valuation Summary (2)_Comparativo VP MKT 2008 v1_So 2008" xfId="9025" xr:uid="{00000000-0005-0000-0000-00007D210000}"/>
    <cellStyle name="s_Valuation Summary (2)_Comparativo VP TEC 2008 v1_So 2008" xfId="9026" xr:uid="{00000000-0005-0000-0000-00007E210000}"/>
    <cellStyle name="s_Valuation Summary (2)_Comparativo VP TEC 2008_Luiz Sergio" xfId="9027" xr:uid="{00000000-0005-0000-0000-00007F210000}"/>
    <cellStyle name="s_Valuation Summary (2)_Cópia de Modelo - Fluxo de Caixa Orcamento 09052009_V36_3" xfId="5548" xr:uid="{00000000-0005-0000-0000-000080210000}"/>
    <cellStyle name="s_Valuation Summary (2)_Fluxo de Caixa Orcamento FINAL_13052009" xfId="5549" xr:uid="{00000000-0005-0000-0000-000081210000}"/>
    <cellStyle name="s_Valuation Summary (2)_FM_dummyV4" xfId="5550" xr:uid="{00000000-0005-0000-0000-000082210000}"/>
    <cellStyle name="s_Valuation Summary (2)_lalur" xfId="5551" xr:uid="{00000000-0005-0000-0000-000083210000}"/>
    <cellStyle name="s_Valuation Summary (2)_Leasing_V3" xfId="5552" xr:uid="{00000000-0005-0000-0000-000084210000}"/>
    <cellStyle name="s_Valuation Summary (2)_MODELO PDP III" xfId="5553" xr:uid="{00000000-0005-0000-0000-000085210000}"/>
    <cellStyle name="s_Valuation Summary (2)_ORÇ_2009" xfId="5554" xr:uid="{00000000-0005-0000-0000-000086210000}"/>
    <cellStyle name="s_Valuation Summary (2)_Pasta2" xfId="5555" xr:uid="{00000000-0005-0000-0000-000087210000}"/>
    <cellStyle name="s_Valuation Summary_1" xfId="5556" xr:uid="{00000000-0005-0000-0000-000088210000}"/>
    <cellStyle name="s_Valuation Summary_1_Comparativo VP FIN v1_So 2008" xfId="9028" xr:uid="{00000000-0005-0000-0000-000089210000}"/>
    <cellStyle name="s_Valuation Summary_1_Comparativo VP MKT 2008 v1_So 2008" xfId="9029" xr:uid="{00000000-0005-0000-0000-00008A210000}"/>
    <cellStyle name="s_Valuation Summary_1_Comparativo VP TEC 2008 v1_So 2008" xfId="9030" xr:uid="{00000000-0005-0000-0000-00008B210000}"/>
    <cellStyle name="s_Valuation Summary_1_Comparativo VP TEC 2008_Luiz Sergio" xfId="9031" xr:uid="{00000000-0005-0000-0000-00008C210000}"/>
    <cellStyle name="s_Valuation Summary_1_Cópia de Modelo - Fluxo de Caixa Orcamento 09052009_V36_3" xfId="5557" xr:uid="{00000000-0005-0000-0000-00008D210000}"/>
    <cellStyle name="s_Valuation Summary_1_Fluxo de Caixa Orcamento FINAL_13052009" xfId="5558" xr:uid="{00000000-0005-0000-0000-00008E210000}"/>
    <cellStyle name="s_Valuation Summary_1_FM_dummyV4" xfId="5559" xr:uid="{00000000-0005-0000-0000-00008F210000}"/>
    <cellStyle name="s_Valuation Summary_1_lalur" xfId="5560" xr:uid="{00000000-0005-0000-0000-000090210000}"/>
    <cellStyle name="s_Valuation Summary_1_Leasing_V3" xfId="5561" xr:uid="{00000000-0005-0000-0000-000091210000}"/>
    <cellStyle name="s_Valuation Summary_1_MODELO PDP III" xfId="5562" xr:uid="{00000000-0005-0000-0000-000092210000}"/>
    <cellStyle name="s_Valuation Summary_1_ORÇ_2009" xfId="5563" xr:uid="{00000000-0005-0000-0000-000093210000}"/>
    <cellStyle name="s_Valuation Summary_1_Pasta2" xfId="5564" xr:uid="{00000000-0005-0000-0000-000094210000}"/>
    <cellStyle name="s_Valuation Summary_2" xfId="5565" xr:uid="{00000000-0005-0000-0000-000095210000}"/>
    <cellStyle name="s_Valuation Summary_2_Comparativo VP FIN v1_So 2008" xfId="9032" xr:uid="{00000000-0005-0000-0000-000096210000}"/>
    <cellStyle name="s_Valuation Summary_2_Comparativo VP MKT 2008 v1_So 2008" xfId="9033" xr:uid="{00000000-0005-0000-0000-000097210000}"/>
    <cellStyle name="s_Valuation Summary_2_Comparativo VP TEC 2008 v1_So 2008" xfId="9034" xr:uid="{00000000-0005-0000-0000-000098210000}"/>
    <cellStyle name="s_Valuation Summary_2_Comparativo VP TEC 2008_Luiz Sergio" xfId="9035" xr:uid="{00000000-0005-0000-0000-000099210000}"/>
    <cellStyle name="s_Valuation Summary_2_Cópia de Modelo - Fluxo de Caixa Orcamento 09052009_V36_3" xfId="5566" xr:uid="{00000000-0005-0000-0000-00009A210000}"/>
    <cellStyle name="s_Valuation Summary_2_Fluxo de Caixa Orcamento FINAL_13052009" xfId="5567" xr:uid="{00000000-0005-0000-0000-00009B210000}"/>
    <cellStyle name="s_Valuation Summary_2_FM_dummyV4" xfId="5568" xr:uid="{00000000-0005-0000-0000-00009C210000}"/>
    <cellStyle name="s_Valuation Summary_2_lalur" xfId="5569" xr:uid="{00000000-0005-0000-0000-00009D210000}"/>
    <cellStyle name="s_Valuation Summary_2_Leasing_V3" xfId="5570" xr:uid="{00000000-0005-0000-0000-00009E210000}"/>
    <cellStyle name="s_Valuation Summary_2_MODELO PDP III" xfId="5571" xr:uid="{00000000-0005-0000-0000-00009F210000}"/>
    <cellStyle name="s_Valuation Summary_2_ORÇ_2009" xfId="5572" xr:uid="{00000000-0005-0000-0000-0000A0210000}"/>
    <cellStyle name="s_Valuation Summary_2_Pasta2" xfId="5573" xr:uid="{00000000-0005-0000-0000-0000A1210000}"/>
    <cellStyle name="s_Valuation Summary_Comparativo VP FIN v1_So 2008" xfId="9036" xr:uid="{00000000-0005-0000-0000-0000A2210000}"/>
    <cellStyle name="s_Valuation Summary_Comparativo VP MKT 2008 v1_So 2008" xfId="9037" xr:uid="{00000000-0005-0000-0000-0000A3210000}"/>
    <cellStyle name="s_Valuation Summary_Comparativo VP TEC 2008 v1_So 2008" xfId="9038" xr:uid="{00000000-0005-0000-0000-0000A4210000}"/>
    <cellStyle name="s_Valuation Summary_Comparativo VP TEC 2008_Luiz Sergio" xfId="9039" xr:uid="{00000000-0005-0000-0000-0000A5210000}"/>
    <cellStyle name="s_Valuation Summary_Cópia de Modelo - Fluxo de Caixa Orcamento 09052009_V36_3" xfId="5574" xr:uid="{00000000-0005-0000-0000-0000A6210000}"/>
    <cellStyle name="s_Valuation Summary_Fluxo de Caixa Orcamento FINAL_13052009" xfId="5575" xr:uid="{00000000-0005-0000-0000-0000A7210000}"/>
    <cellStyle name="s_Valuation Summary_FM_dummyV4" xfId="5576" xr:uid="{00000000-0005-0000-0000-0000A8210000}"/>
    <cellStyle name="s_Valuation Summary_lalur" xfId="5577" xr:uid="{00000000-0005-0000-0000-0000A9210000}"/>
    <cellStyle name="s_Valuation Summary_Leasing_V3" xfId="5578" xr:uid="{00000000-0005-0000-0000-0000AA210000}"/>
    <cellStyle name="s_Valuation Summary_MODELO PDP III" xfId="5579" xr:uid="{00000000-0005-0000-0000-0000AB210000}"/>
    <cellStyle name="s_Valuation Summary_ORÇ_2009" xfId="5580" xr:uid="{00000000-0005-0000-0000-0000AC210000}"/>
    <cellStyle name="s_Valuation Summary_Pasta2" xfId="5581" xr:uid="{00000000-0005-0000-0000-0000AD210000}"/>
    <cellStyle name="s_vmatrix bb" xfId="5582" xr:uid="{00000000-0005-0000-0000-0000AE210000}"/>
    <cellStyle name="s_vmatrix bb_Comparativo VP FIN v1_So 2008" xfId="9040" xr:uid="{00000000-0005-0000-0000-0000AF210000}"/>
    <cellStyle name="s_vmatrix bb_Comparativo VP MKT 2008 v1_So 2008" xfId="9041" xr:uid="{00000000-0005-0000-0000-0000B0210000}"/>
    <cellStyle name="s_vmatrix bb_Comparativo VP TEC 2008 v1_So 2008" xfId="9042" xr:uid="{00000000-0005-0000-0000-0000B1210000}"/>
    <cellStyle name="s_vmatrix bb_Comparativo VP TEC 2008_Luiz Sergio" xfId="9043" xr:uid="{00000000-0005-0000-0000-0000B2210000}"/>
    <cellStyle name="s_vmatrix bb_Cópia de Modelo - Fluxo de Caixa Orcamento 09052009_V36_3" xfId="5583" xr:uid="{00000000-0005-0000-0000-0000B3210000}"/>
    <cellStyle name="s_vmatrix bb_Fluxo de Caixa Orcamento FINAL_13052009" xfId="5584" xr:uid="{00000000-0005-0000-0000-0000B4210000}"/>
    <cellStyle name="s_vmatrix bb_FM_dummyV4" xfId="5585" xr:uid="{00000000-0005-0000-0000-0000B5210000}"/>
    <cellStyle name="s_vmatrix bb_lalur" xfId="5586" xr:uid="{00000000-0005-0000-0000-0000B6210000}"/>
    <cellStyle name="s_vmatrix bb_Leasing_V3" xfId="5587" xr:uid="{00000000-0005-0000-0000-0000B7210000}"/>
    <cellStyle name="s_vmatrix bb_MODELO PDP III" xfId="5588" xr:uid="{00000000-0005-0000-0000-0000B8210000}"/>
    <cellStyle name="s_vmatrix bb_ORÇ_2009" xfId="5589" xr:uid="{00000000-0005-0000-0000-0000B9210000}"/>
    <cellStyle name="s_vmatrix bb_Pasta2" xfId="5590" xr:uid="{00000000-0005-0000-0000-0000BA210000}"/>
    <cellStyle name="s_vmatrix bb_Q2 pipeline" xfId="5591" xr:uid="{00000000-0005-0000-0000-0000BB210000}"/>
    <cellStyle name="s_vmatrix bb_Q2 pipeline 2" xfId="9044" xr:uid="{00000000-0005-0000-0000-0000BC210000}"/>
    <cellStyle name="s_vmatrix bb_Q2 pipeline_Cópia de Modelo - Fluxo de Caixa Orcamento 09052009_V36_3" xfId="5592" xr:uid="{00000000-0005-0000-0000-0000BD210000}"/>
    <cellStyle name="s_vmatrix bb_Q2 pipeline_Cópia de Modelo - Fluxo de Caixa Orcamento 09052009_V36_3 2" xfId="9045" xr:uid="{00000000-0005-0000-0000-0000BE210000}"/>
    <cellStyle name="s_vmatrix bb_Q2 pipeline_Fluxo de Caixa Orcamento FINAL_13052009" xfId="5593" xr:uid="{00000000-0005-0000-0000-0000BF210000}"/>
    <cellStyle name="s_vmatrix bb_Q2 pipeline_Fluxo de Caixa Orcamento FINAL_13052009 2" xfId="9046" xr:uid="{00000000-0005-0000-0000-0000C0210000}"/>
    <cellStyle name="s_vmatrix bb_Q2 pipeline_FM_dummyV4" xfId="5594" xr:uid="{00000000-0005-0000-0000-0000C1210000}"/>
    <cellStyle name="s_vmatrix bb_Q2 pipeline_lalur" xfId="5595" xr:uid="{00000000-0005-0000-0000-0000C2210000}"/>
    <cellStyle name="s_vmatrix bb_Q2 pipeline_Leasing_V3" xfId="5596" xr:uid="{00000000-0005-0000-0000-0000C3210000}"/>
    <cellStyle name="s_vmatrix bb_Q2 pipeline_MODELO PDP III" xfId="5597" xr:uid="{00000000-0005-0000-0000-0000C4210000}"/>
    <cellStyle name="s_vmatrix bb_Q2 pipeline_ORÇ_2009" xfId="5598" xr:uid="{00000000-0005-0000-0000-0000C5210000}"/>
    <cellStyle name="s_vmatrix bb_Q2 pipeline_ORÇ_2009 2" xfId="9047" xr:uid="{00000000-0005-0000-0000-0000C6210000}"/>
    <cellStyle name="s_vmatrix bb_Q2 pipeline_Pasta2" xfId="5599" xr:uid="{00000000-0005-0000-0000-0000C7210000}"/>
    <cellStyle name="s_vmatrix bb_Q2 pipeline_Pasta2 2" xfId="9048" xr:uid="{00000000-0005-0000-0000-0000C8210000}"/>
    <cellStyle name="s_Warrant" xfId="5600" xr:uid="{00000000-0005-0000-0000-0000C9210000}"/>
    <cellStyle name="s_Warrant_1" xfId="5601" xr:uid="{00000000-0005-0000-0000-0000CA210000}"/>
    <cellStyle name="s_Warrant_1_Comparativo VP FIN v1_So 2008" xfId="9049" xr:uid="{00000000-0005-0000-0000-0000CB210000}"/>
    <cellStyle name="s_Warrant_1_Comparativo VP MKT 2008 v1_So 2008" xfId="9050" xr:uid="{00000000-0005-0000-0000-0000CC210000}"/>
    <cellStyle name="s_Warrant_1_Comparativo VP TEC 2008 v1_So 2008" xfId="9051" xr:uid="{00000000-0005-0000-0000-0000CD210000}"/>
    <cellStyle name="s_Warrant_1_Comparativo VP TEC 2008_Luiz Sergio" xfId="9052" xr:uid="{00000000-0005-0000-0000-0000CE210000}"/>
    <cellStyle name="s_Warrant_1_Cópia de Modelo - Fluxo de Caixa Orcamento 09052009_V36_3" xfId="5602" xr:uid="{00000000-0005-0000-0000-0000CF210000}"/>
    <cellStyle name="s_Warrant_1_Fluxo de Caixa Orcamento FINAL_13052009" xfId="5603" xr:uid="{00000000-0005-0000-0000-0000D0210000}"/>
    <cellStyle name="s_Warrant_1_FM_dummyV4" xfId="5604" xr:uid="{00000000-0005-0000-0000-0000D1210000}"/>
    <cellStyle name="s_Warrant_1_lalur" xfId="5605" xr:uid="{00000000-0005-0000-0000-0000D2210000}"/>
    <cellStyle name="s_Warrant_1_Leasing_V3" xfId="5606" xr:uid="{00000000-0005-0000-0000-0000D3210000}"/>
    <cellStyle name="s_Warrant_1_MODELO PDP III" xfId="5607" xr:uid="{00000000-0005-0000-0000-0000D4210000}"/>
    <cellStyle name="s_Warrant_1_ORÇ_2009" xfId="5608" xr:uid="{00000000-0005-0000-0000-0000D5210000}"/>
    <cellStyle name="s_Warrant_1_Pasta2" xfId="5609" xr:uid="{00000000-0005-0000-0000-0000D6210000}"/>
    <cellStyle name="s_Warrant_2" xfId="5610" xr:uid="{00000000-0005-0000-0000-0000D7210000}"/>
    <cellStyle name="s_Warrant_2_Comparativo VP FIN v1_So 2008" xfId="9053" xr:uid="{00000000-0005-0000-0000-0000D8210000}"/>
    <cellStyle name="s_Warrant_2_Comparativo VP MKT 2008 v1_So 2008" xfId="9054" xr:uid="{00000000-0005-0000-0000-0000D9210000}"/>
    <cellStyle name="s_Warrant_2_Comparativo VP TEC 2008 v1_So 2008" xfId="9055" xr:uid="{00000000-0005-0000-0000-0000DA210000}"/>
    <cellStyle name="s_Warrant_2_Comparativo VP TEC 2008_Luiz Sergio" xfId="9056" xr:uid="{00000000-0005-0000-0000-0000DB210000}"/>
    <cellStyle name="s_Warrant_2_Cópia de Modelo - Fluxo de Caixa Orcamento 09052009_V36_3" xfId="5611" xr:uid="{00000000-0005-0000-0000-0000DC210000}"/>
    <cellStyle name="s_Warrant_2_Fluxo de Caixa Orcamento FINAL_13052009" xfId="5612" xr:uid="{00000000-0005-0000-0000-0000DD210000}"/>
    <cellStyle name="s_Warrant_2_FM_dummyV4" xfId="5613" xr:uid="{00000000-0005-0000-0000-0000DE210000}"/>
    <cellStyle name="s_Warrant_2_lalur" xfId="5614" xr:uid="{00000000-0005-0000-0000-0000DF210000}"/>
    <cellStyle name="s_Warrant_2_Leasing_V3" xfId="5615" xr:uid="{00000000-0005-0000-0000-0000E0210000}"/>
    <cellStyle name="s_Warrant_2_MODELO PDP III" xfId="5616" xr:uid="{00000000-0005-0000-0000-0000E1210000}"/>
    <cellStyle name="s_Warrant_2_ORÇ_2009" xfId="5617" xr:uid="{00000000-0005-0000-0000-0000E2210000}"/>
    <cellStyle name="s_Warrant_2_Pasta2" xfId="5618" xr:uid="{00000000-0005-0000-0000-0000E3210000}"/>
    <cellStyle name="s_Warrant_Comparativo VP FIN v1_So 2008" xfId="9057" xr:uid="{00000000-0005-0000-0000-0000E4210000}"/>
    <cellStyle name="s_Warrant_Comparativo VP MKT 2008 v1_So 2008" xfId="9058" xr:uid="{00000000-0005-0000-0000-0000E5210000}"/>
    <cellStyle name="s_Warrant_Comparativo VP TEC 2008 v1_So 2008" xfId="9059" xr:uid="{00000000-0005-0000-0000-0000E6210000}"/>
    <cellStyle name="s_Warrant_Comparativo VP TEC 2008_Luiz Sergio" xfId="9060" xr:uid="{00000000-0005-0000-0000-0000E7210000}"/>
    <cellStyle name="s_Warrant_Cópia de Modelo - Fluxo de Caixa Orcamento 09052009_V36_3" xfId="5619" xr:uid="{00000000-0005-0000-0000-0000E8210000}"/>
    <cellStyle name="s_Warrant_Fluxo de Caixa Orcamento FINAL_13052009" xfId="5620" xr:uid="{00000000-0005-0000-0000-0000E9210000}"/>
    <cellStyle name="s_Warrant_FM_dummyV4" xfId="5621" xr:uid="{00000000-0005-0000-0000-0000EA210000}"/>
    <cellStyle name="s_Warrant_lalur" xfId="5622" xr:uid="{00000000-0005-0000-0000-0000EB210000}"/>
    <cellStyle name="s_Warrant_Leasing_V3" xfId="5623" xr:uid="{00000000-0005-0000-0000-0000EC210000}"/>
    <cellStyle name="s_Warrant_MODELO PDP III" xfId="5624" xr:uid="{00000000-0005-0000-0000-0000ED210000}"/>
    <cellStyle name="s_Warrant_ORÇ_2009" xfId="5625" xr:uid="{00000000-0005-0000-0000-0000EE210000}"/>
    <cellStyle name="s_Warrant_Pasta2" xfId="5626" xr:uid="{00000000-0005-0000-0000-0000EF210000}"/>
    <cellStyle name="Saída 2" xfId="44" xr:uid="{00000000-0005-0000-0000-0000F0210000}"/>
    <cellStyle name="Saída 2 2" xfId="9061" xr:uid="{00000000-0005-0000-0000-0000F1210000}"/>
    <cellStyle name="Saída 3" xfId="9062" xr:uid="{00000000-0005-0000-0000-0000F2210000}"/>
    <cellStyle name="Saída 3 2" xfId="9063" xr:uid="{00000000-0005-0000-0000-0000F3210000}"/>
    <cellStyle name="Saída 4" xfId="9064" xr:uid="{00000000-0005-0000-0000-0000F4210000}"/>
    <cellStyle name="Saída 4 2" xfId="9065" xr:uid="{00000000-0005-0000-0000-0000F5210000}"/>
    <cellStyle name="Saída 5" xfId="6250" xr:uid="{00000000-0005-0000-0000-0000F6210000}"/>
    <cellStyle name="Saldo" xfId="5627" xr:uid="{00000000-0005-0000-0000-0000F7210000}"/>
    <cellStyle name="Salomon Logo" xfId="5628" xr:uid="{00000000-0005-0000-0000-0000F8210000}"/>
    <cellStyle name="SAPBEXaggData" xfId="9066" xr:uid="{00000000-0005-0000-0000-0000F9210000}"/>
    <cellStyle name="SAPBEXaggItem" xfId="9067" xr:uid="{00000000-0005-0000-0000-0000FA210000}"/>
    <cellStyle name="SAPBEXchaText" xfId="9068" xr:uid="{00000000-0005-0000-0000-0000FB210000}"/>
    <cellStyle name="SAPBEXstdData" xfId="9069" xr:uid="{00000000-0005-0000-0000-0000FC210000}"/>
    <cellStyle name="SAPBEXstdItem" xfId="9070" xr:uid="{00000000-0005-0000-0000-0000FD210000}"/>
    <cellStyle name="ScripFactor" xfId="5629" xr:uid="{00000000-0005-0000-0000-0000FE210000}"/>
    <cellStyle name="SectionHeading" xfId="5630" xr:uid="{00000000-0005-0000-0000-0000FF210000}"/>
    <cellStyle name="Sep. milhar [0]" xfId="5631" xr:uid="{00000000-0005-0000-0000-000000220000}"/>
    <cellStyle name="Separador de m" xfId="5632" xr:uid="{00000000-0005-0000-0000-000001220000}"/>
    <cellStyle name="Separador de milhares [0] 2" xfId="5633" xr:uid="{00000000-0005-0000-0000-000002220000}"/>
    <cellStyle name="Separador de milhares 10" xfId="5634" xr:uid="{00000000-0005-0000-0000-000003220000}"/>
    <cellStyle name="Separador de milhares 10 2" xfId="5635" xr:uid="{00000000-0005-0000-0000-000004220000}"/>
    <cellStyle name="Separador de milhares 10 2 2" xfId="5636" xr:uid="{00000000-0005-0000-0000-000005220000}"/>
    <cellStyle name="Separador de milhares 10 2 2 2" xfId="9644" xr:uid="{00000000-0005-0000-0000-000006220000}"/>
    <cellStyle name="Separador de milhares 10 2 3" xfId="9645" xr:uid="{00000000-0005-0000-0000-000007220000}"/>
    <cellStyle name="Separador de milhares 10 3" xfId="5637" xr:uid="{00000000-0005-0000-0000-000008220000}"/>
    <cellStyle name="Separador de milhares 10 3 2" xfId="9646" xr:uid="{00000000-0005-0000-0000-000009220000}"/>
    <cellStyle name="Separador de milhares 10 4" xfId="9647" xr:uid="{00000000-0005-0000-0000-00000A220000}"/>
    <cellStyle name="Separador de milhares 11" xfId="5638" xr:uid="{00000000-0005-0000-0000-00000B220000}"/>
    <cellStyle name="Separador de milhares 11 2" xfId="5639" xr:uid="{00000000-0005-0000-0000-00000C220000}"/>
    <cellStyle name="Separador de milhares 11 2 2" xfId="5640" xr:uid="{00000000-0005-0000-0000-00000D220000}"/>
    <cellStyle name="Separador de milhares 11 2 2 2" xfId="9648" xr:uid="{00000000-0005-0000-0000-00000E220000}"/>
    <cellStyle name="Separador de milhares 11 2 3" xfId="9649" xr:uid="{00000000-0005-0000-0000-00000F220000}"/>
    <cellStyle name="Separador de milhares 11 3" xfId="5641" xr:uid="{00000000-0005-0000-0000-000010220000}"/>
    <cellStyle name="Separador de milhares 11 3 2" xfId="9650" xr:uid="{00000000-0005-0000-0000-000011220000}"/>
    <cellStyle name="Separador de milhares 11 4" xfId="9651" xr:uid="{00000000-0005-0000-0000-000012220000}"/>
    <cellStyle name="Separador de milhares 12" xfId="5642" xr:uid="{00000000-0005-0000-0000-000013220000}"/>
    <cellStyle name="Separador de milhares 12 2" xfId="5643" xr:uid="{00000000-0005-0000-0000-000014220000}"/>
    <cellStyle name="Separador de milhares 12 2 2" xfId="5644" xr:uid="{00000000-0005-0000-0000-000015220000}"/>
    <cellStyle name="Separador de milhares 12 2 2 2" xfId="9652" xr:uid="{00000000-0005-0000-0000-000016220000}"/>
    <cellStyle name="Separador de milhares 12 2 3" xfId="9653" xr:uid="{00000000-0005-0000-0000-000017220000}"/>
    <cellStyle name="Separador de milhares 12 3" xfId="5645" xr:uid="{00000000-0005-0000-0000-000018220000}"/>
    <cellStyle name="Separador de milhares 12 3 2" xfId="9654" xr:uid="{00000000-0005-0000-0000-000019220000}"/>
    <cellStyle name="Separador de milhares 12 4" xfId="9655" xr:uid="{00000000-0005-0000-0000-00001A220000}"/>
    <cellStyle name="Separador de milhares 13" xfId="5646" xr:uid="{00000000-0005-0000-0000-00001B220000}"/>
    <cellStyle name="Separador de milhares 13 2" xfId="5647" xr:uid="{00000000-0005-0000-0000-00001C220000}"/>
    <cellStyle name="Separador de milhares 14" xfId="5648" xr:uid="{00000000-0005-0000-0000-00001D220000}"/>
    <cellStyle name="Separador de milhares 14 2" xfId="5649" xr:uid="{00000000-0005-0000-0000-00001E220000}"/>
    <cellStyle name="Separador de milhares 14 2 2" xfId="5650" xr:uid="{00000000-0005-0000-0000-00001F220000}"/>
    <cellStyle name="Separador de milhares 14 2 2 2" xfId="9656" xr:uid="{00000000-0005-0000-0000-000020220000}"/>
    <cellStyle name="Separador de milhares 14 2 3" xfId="9657" xr:uid="{00000000-0005-0000-0000-000021220000}"/>
    <cellStyle name="Separador de milhares 14 3" xfId="5651" xr:uid="{00000000-0005-0000-0000-000022220000}"/>
    <cellStyle name="Separador de milhares 14 3 2" xfId="9658" xr:uid="{00000000-0005-0000-0000-000023220000}"/>
    <cellStyle name="Separador de milhares 14 4" xfId="9659" xr:uid="{00000000-0005-0000-0000-000024220000}"/>
    <cellStyle name="Separador de milhares 2" xfId="5652" xr:uid="{00000000-0005-0000-0000-000025220000}"/>
    <cellStyle name="Separador de milhares 2 2" xfId="5653" xr:uid="{00000000-0005-0000-0000-000026220000}"/>
    <cellStyle name="Separador de milhares 2 2 2" xfId="5654" xr:uid="{00000000-0005-0000-0000-000027220000}"/>
    <cellStyle name="Separador de milhares 2 3" xfId="5655" xr:uid="{00000000-0005-0000-0000-000028220000}"/>
    <cellStyle name="Separador de milhares 2 3 2" xfId="5656" xr:uid="{00000000-0005-0000-0000-000029220000}"/>
    <cellStyle name="Separador de milhares 2 3 3" xfId="5657" xr:uid="{00000000-0005-0000-0000-00002A220000}"/>
    <cellStyle name="Separador de milhares 2 3 3 2" xfId="5658" xr:uid="{00000000-0005-0000-0000-00002B220000}"/>
    <cellStyle name="Separador de milhares 2 3 3 2 2" xfId="9660" xr:uid="{00000000-0005-0000-0000-00002C220000}"/>
    <cellStyle name="Separador de milhares 2 3 3 3" xfId="9661" xr:uid="{00000000-0005-0000-0000-00002D220000}"/>
    <cellStyle name="Separador de milhares 2 3 4" xfId="5659" xr:uid="{00000000-0005-0000-0000-00002E220000}"/>
    <cellStyle name="Separador de milhares 2 3 4 2" xfId="9662" xr:uid="{00000000-0005-0000-0000-00002F220000}"/>
    <cellStyle name="Separador de milhares 2 3 5" xfId="9663" xr:uid="{00000000-0005-0000-0000-000030220000}"/>
    <cellStyle name="Separador de milhares 2 4" xfId="5660" xr:uid="{00000000-0005-0000-0000-000031220000}"/>
    <cellStyle name="Separador de milhares 2 4 2" xfId="5661" xr:uid="{00000000-0005-0000-0000-000032220000}"/>
    <cellStyle name="Separador de milhares 2 4 2 2" xfId="5662" xr:uid="{00000000-0005-0000-0000-000033220000}"/>
    <cellStyle name="Separador de milhares 2 4 2 2 2" xfId="9664" xr:uid="{00000000-0005-0000-0000-000034220000}"/>
    <cellStyle name="Separador de milhares 2 4 2 3" xfId="9665" xr:uid="{00000000-0005-0000-0000-000035220000}"/>
    <cellStyle name="Separador de milhares 2 4 3" xfId="5663" xr:uid="{00000000-0005-0000-0000-000036220000}"/>
    <cellStyle name="Separador de milhares 2 4 3 2" xfId="9666" xr:uid="{00000000-0005-0000-0000-000037220000}"/>
    <cellStyle name="Separador de milhares 2 4 4" xfId="9667" xr:uid="{00000000-0005-0000-0000-000038220000}"/>
    <cellStyle name="Separador de milhares 2 5" xfId="5664" xr:uid="{00000000-0005-0000-0000-000039220000}"/>
    <cellStyle name="Separador de milhares 3" xfId="5665" xr:uid="{00000000-0005-0000-0000-00003A220000}"/>
    <cellStyle name="Separador de milhares 3 2" xfId="5666" xr:uid="{00000000-0005-0000-0000-00003B220000}"/>
    <cellStyle name="Separador de milhares 3 3" xfId="5667" xr:uid="{00000000-0005-0000-0000-00003C220000}"/>
    <cellStyle name="Separador de milhares 4" xfId="5668" xr:uid="{00000000-0005-0000-0000-00003D220000}"/>
    <cellStyle name="Separador de milhares 4 2" xfId="5669" xr:uid="{00000000-0005-0000-0000-00003E220000}"/>
    <cellStyle name="Separador de milhares 4 2 2" xfId="9071" xr:uid="{00000000-0005-0000-0000-00003F220000}"/>
    <cellStyle name="Separador de milhares 4 3" xfId="9072" xr:uid="{00000000-0005-0000-0000-000040220000}"/>
    <cellStyle name="Separador de milhares 5" xfId="5670" xr:uid="{00000000-0005-0000-0000-000041220000}"/>
    <cellStyle name="Separador de milhares 5 2" xfId="9073" xr:uid="{00000000-0005-0000-0000-000042220000}"/>
    <cellStyle name="Separador de milhares 6" xfId="5671" xr:uid="{00000000-0005-0000-0000-000043220000}"/>
    <cellStyle name="Separador de milhares 7" xfId="5672" xr:uid="{00000000-0005-0000-0000-000044220000}"/>
    <cellStyle name="Separador de milhares 8" xfId="5673" xr:uid="{00000000-0005-0000-0000-000045220000}"/>
    <cellStyle name="Separador de milhares 8 2" xfId="9074" xr:uid="{00000000-0005-0000-0000-000046220000}"/>
    <cellStyle name="Separador de milhares 9" xfId="5674" xr:uid="{00000000-0005-0000-0000-000047220000}"/>
    <cellStyle name="Shaded" xfId="5675" xr:uid="{00000000-0005-0000-0000-000048220000}"/>
    <cellStyle name="Shaded 2" xfId="5676" xr:uid="{00000000-0005-0000-0000-000049220000}"/>
    <cellStyle name="Shading" xfId="5677" xr:uid="{00000000-0005-0000-0000-00004A220000}"/>
    <cellStyle name="Sheet Title" xfId="9075" xr:uid="{00000000-0005-0000-0000-00004B220000}"/>
    <cellStyle name="srh" xfId="9076" xr:uid="{00000000-0005-0000-0000-00004C220000}"/>
    <cellStyle name="ss0" xfId="5678" xr:uid="{00000000-0005-0000-0000-00004D220000}"/>
    <cellStyle name="ss0 2" xfId="9077" xr:uid="{00000000-0005-0000-0000-00004E220000}"/>
    <cellStyle name="ss1" xfId="5679" xr:uid="{00000000-0005-0000-0000-00004F220000}"/>
    <cellStyle name="ss1 2" xfId="9078" xr:uid="{00000000-0005-0000-0000-000050220000}"/>
    <cellStyle name="ss2" xfId="5680" xr:uid="{00000000-0005-0000-0000-000051220000}"/>
    <cellStyle name="ss2 2" xfId="9079" xr:uid="{00000000-0005-0000-0000-000052220000}"/>
    <cellStyle name="ssp " xfId="5681" xr:uid="{00000000-0005-0000-0000-000053220000}"/>
    <cellStyle name="ssubtitulo" xfId="5682" xr:uid="{00000000-0005-0000-0000-000054220000}"/>
    <cellStyle name="st" xfId="5683" xr:uid="{00000000-0005-0000-0000-000055220000}"/>
    <cellStyle name="Standaard_laroux" xfId="9080" xr:uid="{00000000-0005-0000-0000-000056220000}"/>
    <cellStyle name="STANDARD" xfId="9081" xr:uid="{00000000-0005-0000-0000-000057220000}"/>
    <cellStyle name="Style 1" xfId="9082" xr:uid="{00000000-0005-0000-0000-000058220000}"/>
    <cellStyle name="Style 26" xfId="5684" xr:uid="{00000000-0005-0000-0000-000059220000}"/>
    <cellStyle name="Style 26 2" xfId="9083" xr:uid="{00000000-0005-0000-0000-00005A220000}"/>
    <cellStyle name="SubHead" xfId="5685" xr:uid="{00000000-0005-0000-0000-00005B220000}"/>
    <cellStyle name="subtitulo" xfId="5686" xr:uid="{00000000-0005-0000-0000-00005C220000}"/>
    <cellStyle name="Sub-Título" xfId="5687" xr:uid="{00000000-0005-0000-0000-00005D220000}"/>
    <cellStyle name="SubTítulo1" xfId="5688" xr:uid="{00000000-0005-0000-0000-00005E220000}"/>
    <cellStyle name="Subtotal" xfId="9084" xr:uid="{00000000-0005-0000-0000-00005F220000}"/>
    <cellStyle name="Subtotal1" xfId="5689" xr:uid="{00000000-0005-0000-0000-000060220000}"/>
    <cellStyle name="Sum" xfId="5690" xr:uid="{00000000-0005-0000-0000-000061220000}"/>
    <cellStyle name="Sum %of HV" xfId="5691" xr:uid="{00000000-0005-0000-0000-000062220000}"/>
    <cellStyle name="t" xfId="5692" xr:uid="{00000000-0005-0000-0000-000063220000}"/>
    <cellStyle name="t 2" xfId="9085" xr:uid="{00000000-0005-0000-0000-000064220000}"/>
    <cellStyle name="t_Comparativo VP FIN v1_So 2008" xfId="9086" xr:uid="{00000000-0005-0000-0000-000065220000}"/>
    <cellStyle name="t_Comparativo VP FIN v1_So 2008 2" xfId="9087" xr:uid="{00000000-0005-0000-0000-000066220000}"/>
    <cellStyle name="t_Comparativo VP MKT 2008 v1_So 2008" xfId="9088" xr:uid="{00000000-0005-0000-0000-000067220000}"/>
    <cellStyle name="t_Comparativo VP MKT 2008 v1_So 2008 2" xfId="9089" xr:uid="{00000000-0005-0000-0000-000068220000}"/>
    <cellStyle name="t_Comparativo VP TEC 2008 v1_So 2008" xfId="9090" xr:uid="{00000000-0005-0000-0000-000069220000}"/>
    <cellStyle name="t_Comparativo VP TEC 2008 v1_So 2008 2" xfId="9091" xr:uid="{00000000-0005-0000-0000-00006A220000}"/>
    <cellStyle name="t_Comparativo VP TEC 2008_Luiz Sergio" xfId="9092" xr:uid="{00000000-0005-0000-0000-00006B220000}"/>
    <cellStyle name="t_Comparativo VP TEC 2008_Luiz Sergio 2" xfId="9093" xr:uid="{00000000-0005-0000-0000-00006C220000}"/>
    <cellStyle name="t_Cópia de Modelo - Fluxo de Caixa Orcamento 09052009_V36_3" xfId="5693" xr:uid="{00000000-0005-0000-0000-00006D220000}"/>
    <cellStyle name="t_Fluxo de Caixa Orcamento FINAL_13052009" xfId="5694" xr:uid="{00000000-0005-0000-0000-00006E220000}"/>
    <cellStyle name="t_FM_dummyV4" xfId="5695" xr:uid="{00000000-0005-0000-0000-00006F220000}"/>
    <cellStyle name="t_lalur" xfId="5696" xr:uid="{00000000-0005-0000-0000-000070220000}"/>
    <cellStyle name="t_Leasing_V3" xfId="5697" xr:uid="{00000000-0005-0000-0000-000071220000}"/>
    <cellStyle name="t_lux_compsXM" xfId="5698" xr:uid="{00000000-0005-0000-0000-000072220000}"/>
    <cellStyle name="t_lux_compsXM_Comparativo VP FIN v1_So 2008" xfId="9094" xr:uid="{00000000-0005-0000-0000-000073220000}"/>
    <cellStyle name="t_lux_compsXM_Comparativo VP MKT 2008 v1_So 2008" xfId="9095" xr:uid="{00000000-0005-0000-0000-000074220000}"/>
    <cellStyle name="t_lux_compsXM_Comparativo VP TEC 2008 v1_So 2008" xfId="9096" xr:uid="{00000000-0005-0000-0000-000075220000}"/>
    <cellStyle name="t_lux_compsXM_Comparativo VP TEC 2008_Luiz Sergio" xfId="9097" xr:uid="{00000000-0005-0000-0000-000076220000}"/>
    <cellStyle name="t_lux_compsXM_Cópia de Modelo - Fluxo de Caixa Orcamento 09052009_V36_3" xfId="5699" xr:uid="{00000000-0005-0000-0000-000077220000}"/>
    <cellStyle name="t_lux_compsXM_Fluxo de Caixa Orcamento FINAL_13052009" xfId="5700" xr:uid="{00000000-0005-0000-0000-000078220000}"/>
    <cellStyle name="t_lux_compsXM_FM_dummyV4" xfId="5701" xr:uid="{00000000-0005-0000-0000-000079220000}"/>
    <cellStyle name="t_lux_compsXM_lalur" xfId="5702" xr:uid="{00000000-0005-0000-0000-00007A220000}"/>
    <cellStyle name="t_lux_compsXM_Leasing_V3" xfId="5703" xr:uid="{00000000-0005-0000-0000-00007B220000}"/>
    <cellStyle name="t_lux_compsXM_MODELO PDP III" xfId="5704" xr:uid="{00000000-0005-0000-0000-00007C220000}"/>
    <cellStyle name="t_lux_compsXM_ORÇ_2009" xfId="5705" xr:uid="{00000000-0005-0000-0000-00007D220000}"/>
    <cellStyle name="t_lux_compsXM_Pasta2" xfId="5706" xr:uid="{00000000-0005-0000-0000-00007E220000}"/>
    <cellStyle name="t_Manager" xfId="5707" xr:uid="{00000000-0005-0000-0000-00007F220000}"/>
    <cellStyle name="t_Manager 2" xfId="9098" xr:uid="{00000000-0005-0000-0000-000080220000}"/>
    <cellStyle name="t_Manager_Comparativo VP FIN v1_So 2008" xfId="9099" xr:uid="{00000000-0005-0000-0000-000081220000}"/>
    <cellStyle name="t_Manager_Comparativo VP FIN v1_So 2008 2" xfId="9100" xr:uid="{00000000-0005-0000-0000-000082220000}"/>
    <cellStyle name="t_Manager_Comparativo VP MKT 2008 v1_So 2008" xfId="9101" xr:uid="{00000000-0005-0000-0000-000083220000}"/>
    <cellStyle name="t_Manager_Comparativo VP MKT 2008 v1_So 2008 2" xfId="9102" xr:uid="{00000000-0005-0000-0000-000084220000}"/>
    <cellStyle name="t_Manager_Comparativo VP TEC 2008 v1_So 2008" xfId="9103" xr:uid="{00000000-0005-0000-0000-000085220000}"/>
    <cellStyle name="t_Manager_Comparativo VP TEC 2008 v1_So 2008 2" xfId="9104" xr:uid="{00000000-0005-0000-0000-000086220000}"/>
    <cellStyle name="t_Manager_Comparativo VP TEC 2008_Luiz Sergio" xfId="9105" xr:uid="{00000000-0005-0000-0000-000087220000}"/>
    <cellStyle name="t_Manager_Comparativo VP TEC 2008_Luiz Sergio 2" xfId="9106" xr:uid="{00000000-0005-0000-0000-000088220000}"/>
    <cellStyle name="t_Manager_Cópia de Modelo - Fluxo de Caixa Orcamento 09052009_V36_3" xfId="5708" xr:uid="{00000000-0005-0000-0000-000089220000}"/>
    <cellStyle name="t_Manager_Fluxo de Caixa Orcamento FINAL_13052009" xfId="5709" xr:uid="{00000000-0005-0000-0000-00008A220000}"/>
    <cellStyle name="t_Manager_FM_dummyV4" xfId="5710" xr:uid="{00000000-0005-0000-0000-00008B220000}"/>
    <cellStyle name="t_Manager_lalur" xfId="5711" xr:uid="{00000000-0005-0000-0000-00008C220000}"/>
    <cellStyle name="t_Manager_Leasing_V3" xfId="5712" xr:uid="{00000000-0005-0000-0000-00008D220000}"/>
    <cellStyle name="t_Manager_MODELO PDP III" xfId="5713" xr:uid="{00000000-0005-0000-0000-00008E220000}"/>
    <cellStyle name="t_Manager_ORÇ_2009" xfId="5714" xr:uid="{00000000-0005-0000-0000-00008F220000}"/>
    <cellStyle name="t_Manager_Pasta2" xfId="5715" xr:uid="{00000000-0005-0000-0000-000090220000}"/>
    <cellStyle name="t_Manager_Q2 pipeline" xfId="5716" xr:uid="{00000000-0005-0000-0000-000091220000}"/>
    <cellStyle name="t_Manager_Q2 pipeline 2" xfId="9107" xr:uid="{00000000-0005-0000-0000-000092220000}"/>
    <cellStyle name="t_Manager_Q2 pipeline_Cópia de Modelo - Fluxo de Caixa Orcamento 09052009_V36_3" xfId="5717" xr:uid="{00000000-0005-0000-0000-000093220000}"/>
    <cellStyle name="t_Manager_Q2 pipeline_Cópia de Modelo - Fluxo de Caixa Orcamento 09052009_V36_3 2" xfId="9108" xr:uid="{00000000-0005-0000-0000-000094220000}"/>
    <cellStyle name="t_Manager_Q2 pipeline_Fluxo de Caixa Orcamento FINAL_13052009" xfId="5718" xr:uid="{00000000-0005-0000-0000-000095220000}"/>
    <cellStyle name="t_Manager_Q2 pipeline_Fluxo de Caixa Orcamento FINAL_13052009 2" xfId="9109" xr:uid="{00000000-0005-0000-0000-000096220000}"/>
    <cellStyle name="t_Manager_Q2 pipeline_FM_dummyV4" xfId="5719" xr:uid="{00000000-0005-0000-0000-000097220000}"/>
    <cellStyle name="t_Manager_Q2 pipeline_lalur" xfId="5720" xr:uid="{00000000-0005-0000-0000-000098220000}"/>
    <cellStyle name="t_Manager_Q2 pipeline_Leasing_V3" xfId="5721" xr:uid="{00000000-0005-0000-0000-000099220000}"/>
    <cellStyle name="t_Manager_Q2 pipeline_MODELO PDP III" xfId="5722" xr:uid="{00000000-0005-0000-0000-00009A220000}"/>
    <cellStyle name="t_Manager_Q2 pipeline_ORÇ_2009" xfId="5723" xr:uid="{00000000-0005-0000-0000-00009B220000}"/>
    <cellStyle name="t_Manager_Q2 pipeline_ORÇ_2009 2" xfId="9110" xr:uid="{00000000-0005-0000-0000-00009C220000}"/>
    <cellStyle name="t_Manager_Q2 pipeline_Pasta2" xfId="5724" xr:uid="{00000000-0005-0000-0000-00009D220000}"/>
    <cellStyle name="t_Manager_Q2 pipeline_Pasta2 2" xfId="9111" xr:uid="{00000000-0005-0000-0000-00009E220000}"/>
    <cellStyle name="t_marlswat" xfId="5725" xr:uid="{00000000-0005-0000-0000-00009F220000}"/>
    <cellStyle name="t_marlswat 2" xfId="9112" xr:uid="{00000000-0005-0000-0000-0000A0220000}"/>
    <cellStyle name="t_marlswat_Comparativo VP FIN v1_So 2008" xfId="9113" xr:uid="{00000000-0005-0000-0000-0000A1220000}"/>
    <cellStyle name="t_marlswat_Comparativo VP FIN v1_So 2008 2" xfId="9114" xr:uid="{00000000-0005-0000-0000-0000A2220000}"/>
    <cellStyle name="t_marlswat_Comparativo VP MKT 2008 v1_So 2008" xfId="9115" xr:uid="{00000000-0005-0000-0000-0000A3220000}"/>
    <cellStyle name="t_marlswat_Comparativo VP MKT 2008 v1_So 2008 2" xfId="9116" xr:uid="{00000000-0005-0000-0000-0000A4220000}"/>
    <cellStyle name="t_marlswat_Comparativo VP TEC 2008 v1_So 2008" xfId="9117" xr:uid="{00000000-0005-0000-0000-0000A5220000}"/>
    <cellStyle name="t_marlswat_Comparativo VP TEC 2008 v1_So 2008 2" xfId="9118" xr:uid="{00000000-0005-0000-0000-0000A6220000}"/>
    <cellStyle name="t_marlswat_Comparativo VP TEC 2008_Luiz Sergio" xfId="9119" xr:uid="{00000000-0005-0000-0000-0000A7220000}"/>
    <cellStyle name="t_marlswat_Comparativo VP TEC 2008_Luiz Sergio 2" xfId="9120" xr:uid="{00000000-0005-0000-0000-0000A8220000}"/>
    <cellStyle name="t_marlswat_Cópia de Cópia de GOL Financial Model - Caroline - 10" xfId="5726" xr:uid="{00000000-0005-0000-0000-0000A9220000}"/>
    <cellStyle name="t_marlswat_Cópia de Cópia de GOL Financial Model - Caroline - 10 2" xfId="9121" xr:uid="{00000000-0005-0000-0000-0000AA220000}"/>
    <cellStyle name="t_marlswat_Cópia de Cópia de GOL Financial Model - Caroline - 10_Comparativo VP FIN v1_So 2008" xfId="9122" xr:uid="{00000000-0005-0000-0000-0000AB220000}"/>
    <cellStyle name="t_marlswat_Cópia de Cópia de GOL Financial Model - Caroline - 10_Comparativo VP FIN v1_So 2008 2" xfId="9123" xr:uid="{00000000-0005-0000-0000-0000AC220000}"/>
    <cellStyle name="t_marlswat_Cópia de Cópia de GOL Financial Model - Caroline - 10_Comparativo VP MKT 2008 v1_So 2008" xfId="9124" xr:uid="{00000000-0005-0000-0000-0000AD220000}"/>
    <cellStyle name="t_marlswat_Cópia de Cópia de GOL Financial Model - Caroline - 10_Comparativo VP MKT 2008 v1_So 2008 2" xfId="9125" xr:uid="{00000000-0005-0000-0000-0000AE220000}"/>
    <cellStyle name="t_marlswat_Cópia de Cópia de GOL Financial Model - Caroline - 10_Comparativo VP TEC 2008 v1_So 2008" xfId="9126" xr:uid="{00000000-0005-0000-0000-0000AF220000}"/>
    <cellStyle name="t_marlswat_Cópia de Cópia de GOL Financial Model - Caroline - 10_Comparativo VP TEC 2008 v1_So 2008 2" xfId="9127" xr:uid="{00000000-0005-0000-0000-0000B0220000}"/>
    <cellStyle name="t_marlswat_Cópia de Cópia de GOL Financial Model - Caroline - 10_Comparativo VP TEC 2008_Luiz Sergio" xfId="9128" xr:uid="{00000000-0005-0000-0000-0000B1220000}"/>
    <cellStyle name="t_marlswat_Cópia de Cópia de GOL Financial Model - Caroline - 10_Comparativo VP TEC 2008_Luiz Sergio 2" xfId="9129" xr:uid="{00000000-0005-0000-0000-0000B2220000}"/>
    <cellStyle name="t_marlswat_Cópia de Cópia de GOL Financial Model - Caroline - 10_Cópia de Modelo - Fluxo de Caixa Orcamento 09052009_V36_3" xfId="5727" xr:uid="{00000000-0005-0000-0000-0000B3220000}"/>
    <cellStyle name="t_marlswat_Cópia de Cópia de GOL Financial Model - Caroline - 10_Fluxo de Caixa Orcamento FINAL_13052009" xfId="5728" xr:uid="{00000000-0005-0000-0000-0000B4220000}"/>
    <cellStyle name="t_marlswat_Cópia de Cópia de GOL Financial Model - Caroline - 10_FM_dummyV4" xfId="5729" xr:uid="{00000000-0005-0000-0000-0000B5220000}"/>
    <cellStyle name="t_marlswat_Cópia de Cópia de GOL Financial Model - Caroline - 10_lalur" xfId="5730" xr:uid="{00000000-0005-0000-0000-0000B6220000}"/>
    <cellStyle name="t_marlswat_Cópia de Cópia de GOL Financial Model - Caroline - 10_Leasing_V3" xfId="5731" xr:uid="{00000000-0005-0000-0000-0000B7220000}"/>
    <cellStyle name="t_marlswat_Cópia de Cópia de GOL Financial Model - Caroline - 10_MODELO PDP III" xfId="5732" xr:uid="{00000000-0005-0000-0000-0000B8220000}"/>
    <cellStyle name="t_marlswat_Cópia de Cópia de GOL Financial Model - Caroline - 10_ORÇ_2009" xfId="5733" xr:uid="{00000000-0005-0000-0000-0000B9220000}"/>
    <cellStyle name="t_marlswat_Cópia de Cópia de GOL Financial Model - Caroline - 10_Pasta2" xfId="5734" xr:uid="{00000000-0005-0000-0000-0000BA220000}"/>
    <cellStyle name="t_marlswat_Cópia de GOL Financial Model - Caroline - 11" xfId="5735" xr:uid="{00000000-0005-0000-0000-0000BB220000}"/>
    <cellStyle name="t_marlswat_Cópia de GOL Financial Model - Caroline - 11 2" xfId="9130" xr:uid="{00000000-0005-0000-0000-0000BC220000}"/>
    <cellStyle name="t_marlswat_Cópia de GOL Financial Model - Caroline - 11_Comparativo VP FIN v1_So 2008" xfId="9131" xr:uid="{00000000-0005-0000-0000-0000BD220000}"/>
    <cellStyle name="t_marlswat_Cópia de GOL Financial Model - Caroline - 11_Comparativo VP FIN v1_So 2008 2" xfId="9132" xr:uid="{00000000-0005-0000-0000-0000BE220000}"/>
    <cellStyle name="t_marlswat_Cópia de GOL Financial Model - Caroline - 11_Comparativo VP MKT 2008 v1_So 2008" xfId="9133" xr:uid="{00000000-0005-0000-0000-0000BF220000}"/>
    <cellStyle name="t_marlswat_Cópia de GOL Financial Model - Caroline - 11_Comparativo VP MKT 2008 v1_So 2008 2" xfId="9134" xr:uid="{00000000-0005-0000-0000-0000C0220000}"/>
    <cellStyle name="t_marlswat_Cópia de GOL Financial Model - Caroline - 11_Comparativo VP TEC 2008 v1_So 2008" xfId="9135" xr:uid="{00000000-0005-0000-0000-0000C1220000}"/>
    <cellStyle name="t_marlswat_Cópia de GOL Financial Model - Caroline - 11_Comparativo VP TEC 2008 v1_So 2008 2" xfId="9136" xr:uid="{00000000-0005-0000-0000-0000C2220000}"/>
    <cellStyle name="t_marlswat_Cópia de GOL Financial Model - Caroline - 11_Comparativo VP TEC 2008_Luiz Sergio" xfId="9137" xr:uid="{00000000-0005-0000-0000-0000C3220000}"/>
    <cellStyle name="t_marlswat_Cópia de GOL Financial Model - Caroline - 11_Comparativo VP TEC 2008_Luiz Sergio 2" xfId="9138" xr:uid="{00000000-0005-0000-0000-0000C4220000}"/>
    <cellStyle name="t_marlswat_Cópia de GOL Financial Model - Caroline - 11_Cópia de Modelo - Fluxo de Caixa Orcamento 09052009_V36_3" xfId="5736" xr:uid="{00000000-0005-0000-0000-0000C5220000}"/>
    <cellStyle name="t_marlswat_Cópia de GOL Financial Model - Caroline - 11_Fluxo de Caixa Orcamento FINAL_13052009" xfId="5737" xr:uid="{00000000-0005-0000-0000-0000C6220000}"/>
    <cellStyle name="t_marlswat_Cópia de GOL Financial Model - Caroline - 11_FM_dummyV4" xfId="5738" xr:uid="{00000000-0005-0000-0000-0000C7220000}"/>
    <cellStyle name="t_marlswat_Cópia de GOL Financial Model - Caroline - 11_lalur" xfId="5739" xr:uid="{00000000-0005-0000-0000-0000C8220000}"/>
    <cellStyle name="t_marlswat_Cópia de GOL Financial Model - Caroline - 11_Leasing_V3" xfId="5740" xr:uid="{00000000-0005-0000-0000-0000C9220000}"/>
    <cellStyle name="t_marlswat_Cópia de GOL Financial Model - Caroline - 11_MODELO PDP III" xfId="5741" xr:uid="{00000000-0005-0000-0000-0000CA220000}"/>
    <cellStyle name="t_marlswat_Cópia de GOL Financial Model - Caroline - 11_ORÇ_2009" xfId="5742" xr:uid="{00000000-0005-0000-0000-0000CB220000}"/>
    <cellStyle name="t_marlswat_Cópia de GOL Financial Model - Caroline - 11_Pasta2" xfId="5743" xr:uid="{00000000-0005-0000-0000-0000CC220000}"/>
    <cellStyle name="t_marlswat_Cópia de GOL Financial Model - Caroline - 12" xfId="5744" xr:uid="{00000000-0005-0000-0000-0000CD220000}"/>
    <cellStyle name="t_marlswat_Cópia de GOL Financial Model - Caroline - 12 2" xfId="9139" xr:uid="{00000000-0005-0000-0000-0000CE220000}"/>
    <cellStyle name="t_marlswat_Cópia de GOL Financial Model - Caroline - 12_Comparativo VP FIN v1_So 2008" xfId="9140" xr:uid="{00000000-0005-0000-0000-0000CF220000}"/>
    <cellStyle name="t_marlswat_Cópia de GOL Financial Model - Caroline - 12_Comparativo VP FIN v1_So 2008 2" xfId="9141" xr:uid="{00000000-0005-0000-0000-0000D0220000}"/>
    <cellStyle name="t_marlswat_Cópia de GOL Financial Model - Caroline - 12_Comparativo VP MKT 2008 v1_So 2008" xfId="9142" xr:uid="{00000000-0005-0000-0000-0000D1220000}"/>
    <cellStyle name="t_marlswat_Cópia de GOL Financial Model - Caroline - 12_Comparativo VP MKT 2008 v1_So 2008 2" xfId="9143" xr:uid="{00000000-0005-0000-0000-0000D2220000}"/>
    <cellStyle name="t_marlswat_Cópia de GOL Financial Model - Caroline - 12_Comparativo VP TEC 2008 v1_So 2008" xfId="9144" xr:uid="{00000000-0005-0000-0000-0000D3220000}"/>
    <cellStyle name="t_marlswat_Cópia de GOL Financial Model - Caroline - 12_Comparativo VP TEC 2008 v1_So 2008 2" xfId="9145" xr:uid="{00000000-0005-0000-0000-0000D4220000}"/>
    <cellStyle name="t_marlswat_Cópia de GOL Financial Model - Caroline - 12_Comparativo VP TEC 2008_Luiz Sergio" xfId="9146" xr:uid="{00000000-0005-0000-0000-0000D5220000}"/>
    <cellStyle name="t_marlswat_Cópia de GOL Financial Model - Caroline - 12_Comparativo VP TEC 2008_Luiz Sergio 2" xfId="9147" xr:uid="{00000000-0005-0000-0000-0000D6220000}"/>
    <cellStyle name="t_marlswat_Cópia de GOL Financial Model - Caroline - 12_Cópia de Modelo - Fluxo de Caixa Orcamento 09052009_V36_3" xfId="5745" xr:uid="{00000000-0005-0000-0000-0000D7220000}"/>
    <cellStyle name="t_marlswat_Cópia de GOL Financial Model - Caroline - 12_Fluxo de Caixa Orcamento FINAL_13052009" xfId="5746" xr:uid="{00000000-0005-0000-0000-0000D8220000}"/>
    <cellStyle name="t_marlswat_Cópia de GOL Financial Model - Caroline - 12_FM_dummyV4" xfId="5747" xr:uid="{00000000-0005-0000-0000-0000D9220000}"/>
    <cellStyle name="t_marlswat_Cópia de GOL Financial Model - Caroline - 12_lalur" xfId="5748" xr:uid="{00000000-0005-0000-0000-0000DA220000}"/>
    <cellStyle name="t_marlswat_Cópia de GOL Financial Model - Caroline - 12_Leasing_V3" xfId="5749" xr:uid="{00000000-0005-0000-0000-0000DB220000}"/>
    <cellStyle name="t_marlswat_Cópia de GOL Financial Model - Caroline - 12_MODELO PDP III" xfId="5750" xr:uid="{00000000-0005-0000-0000-0000DC220000}"/>
    <cellStyle name="t_marlswat_Cópia de GOL Financial Model - Caroline - 12_ORÇ_2009" xfId="5751" xr:uid="{00000000-0005-0000-0000-0000DD220000}"/>
    <cellStyle name="t_marlswat_Cópia de GOL Financial Model - Caroline - 12_Pasta2" xfId="5752" xr:uid="{00000000-0005-0000-0000-0000DE220000}"/>
    <cellStyle name="t_marlswat_Cópia de GOL Financial Model - Caroline - 13" xfId="5753" xr:uid="{00000000-0005-0000-0000-0000DF220000}"/>
    <cellStyle name="t_marlswat_Cópia de GOL Financial Model - Caroline - 13 2" xfId="9148" xr:uid="{00000000-0005-0000-0000-0000E0220000}"/>
    <cellStyle name="t_marlswat_Cópia de GOL Financial Model - Caroline - 13_Comparativo VP FIN v1_So 2008" xfId="9149" xr:uid="{00000000-0005-0000-0000-0000E1220000}"/>
    <cellStyle name="t_marlswat_Cópia de GOL Financial Model - Caroline - 13_Comparativo VP FIN v1_So 2008 2" xfId="9150" xr:uid="{00000000-0005-0000-0000-0000E2220000}"/>
    <cellStyle name="t_marlswat_Cópia de GOL Financial Model - Caroline - 13_Comparativo VP MKT 2008 v1_So 2008" xfId="9151" xr:uid="{00000000-0005-0000-0000-0000E3220000}"/>
    <cellStyle name="t_marlswat_Cópia de GOL Financial Model - Caroline - 13_Comparativo VP MKT 2008 v1_So 2008 2" xfId="9152" xr:uid="{00000000-0005-0000-0000-0000E4220000}"/>
    <cellStyle name="t_marlswat_Cópia de GOL Financial Model - Caroline - 13_Comparativo VP TEC 2008 v1_So 2008" xfId="9153" xr:uid="{00000000-0005-0000-0000-0000E5220000}"/>
    <cellStyle name="t_marlswat_Cópia de GOL Financial Model - Caroline - 13_Comparativo VP TEC 2008 v1_So 2008 2" xfId="9154" xr:uid="{00000000-0005-0000-0000-0000E6220000}"/>
    <cellStyle name="t_marlswat_Cópia de GOL Financial Model - Caroline - 13_Comparativo VP TEC 2008_Luiz Sergio" xfId="9155" xr:uid="{00000000-0005-0000-0000-0000E7220000}"/>
    <cellStyle name="t_marlswat_Cópia de GOL Financial Model - Caroline - 13_Comparativo VP TEC 2008_Luiz Sergio 2" xfId="9156" xr:uid="{00000000-0005-0000-0000-0000E8220000}"/>
    <cellStyle name="t_marlswat_Cópia de GOL Financial Model - Caroline - 13_Cópia de Modelo - Fluxo de Caixa Orcamento 09052009_V36_3" xfId="5754" xr:uid="{00000000-0005-0000-0000-0000E9220000}"/>
    <cellStyle name="t_marlswat_Cópia de GOL Financial Model - Caroline - 13_Fluxo de Caixa Orcamento FINAL_13052009" xfId="5755" xr:uid="{00000000-0005-0000-0000-0000EA220000}"/>
    <cellStyle name="t_marlswat_Cópia de GOL Financial Model - Caroline - 13_FM_dummyV4" xfId="5756" xr:uid="{00000000-0005-0000-0000-0000EB220000}"/>
    <cellStyle name="t_marlswat_Cópia de GOL Financial Model - Caroline - 13_lalur" xfId="5757" xr:uid="{00000000-0005-0000-0000-0000EC220000}"/>
    <cellStyle name="t_marlswat_Cópia de GOL Financial Model - Caroline - 13_Leasing_V3" xfId="5758" xr:uid="{00000000-0005-0000-0000-0000ED220000}"/>
    <cellStyle name="t_marlswat_Cópia de GOL Financial Model - Caroline - 13_MODELO PDP III" xfId="5759" xr:uid="{00000000-0005-0000-0000-0000EE220000}"/>
    <cellStyle name="t_marlswat_Cópia de GOL Financial Model - Caroline - 13_ORÇ_2009" xfId="5760" xr:uid="{00000000-0005-0000-0000-0000EF220000}"/>
    <cellStyle name="t_marlswat_Cópia de GOL Financial Model - Caroline - 13_Pasta2" xfId="5761" xr:uid="{00000000-0005-0000-0000-0000F0220000}"/>
    <cellStyle name="t_marlswat_Cópia de Modelo - Fluxo de Caixa Orcamento 09052009_V36_3" xfId="5762" xr:uid="{00000000-0005-0000-0000-0000F1220000}"/>
    <cellStyle name="t_marlswat_Financial Model - Caroline - 15-7_Budget" xfId="5763" xr:uid="{00000000-0005-0000-0000-0000F2220000}"/>
    <cellStyle name="t_marlswat_Financial Model - Caroline - 15-7_Budget_FM_dummyV4" xfId="5764" xr:uid="{00000000-0005-0000-0000-0000F3220000}"/>
    <cellStyle name="t_marlswat_Financial Model - Caroline - 15-7_Budget_Leasing_V3" xfId="5765" xr:uid="{00000000-0005-0000-0000-0000F4220000}"/>
    <cellStyle name="t_marlswat_Financial Model - Caroline - 15-7_Budget_MODELO PDP III" xfId="5766" xr:uid="{00000000-0005-0000-0000-0000F5220000}"/>
    <cellStyle name="t_marlswat_Financial Model - Caroline - 15-7_Budget_ORÇ_2009" xfId="5767" xr:uid="{00000000-0005-0000-0000-0000F6220000}"/>
    <cellStyle name="t_marlswat_Financial Model_Budget2005_V6_orig" xfId="5768" xr:uid="{00000000-0005-0000-0000-0000F7220000}"/>
    <cellStyle name="t_marlswat_Financial Model_Budget2005_V6_orig_FM_dummyV4" xfId="5769" xr:uid="{00000000-0005-0000-0000-0000F8220000}"/>
    <cellStyle name="t_marlswat_Financial Model_Budget2005_V6_orig_Leasing_V3" xfId="5770" xr:uid="{00000000-0005-0000-0000-0000F9220000}"/>
    <cellStyle name="t_marlswat_Financial Model_Budget2005_V6_orig_MODELO PDP III" xfId="5771" xr:uid="{00000000-0005-0000-0000-0000FA220000}"/>
    <cellStyle name="t_marlswat_Financial Model_Budget2005_V6_orig_ORÇ_2009" xfId="5772" xr:uid="{00000000-0005-0000-0000-0000FB220000}"/>
    <cellStyle name="t_marlswat_Fluxo de Caixa Orcamento FINAL_13052009" xfId="5773" xr:uid="{00000000-0005-0000-0000-0000FC220000}"/>
    <cellStyle name="t_marlswat_FM_dummyV4" xfId="5774" xr:uid="{00000000-0005-0000-0000-0000FD220000}"/>
    <cellStyle name="t_marlswat_GOL Financial Model" xfId="5775" xr:uid="{00000000-0005-0000-0000-0000FE220000}"/>
    <cellStyle name="t_marlswat_GOL Financial Model - Bank Case NOV08 GECAS" xfId="5776" xr:uid="{00000000-0005-0000-0000-0000FF220000}"/>
    <cellStyle name="t_marlswat_GOL Financial Model - Bank Case NOV08 GECAS_FM_dummyV4" xfId="5777" xr:uid="{00000000-0005-0000-0000-000000230000}"/>
    <cellStyle name="t_marlswat_GOL Financial Model - Bank Case NOV08 GECAS_Leasing_V3" xfId="5778" xr:uid="{00000000-0005-0000-0000-000001230000}"/>
    <cellStyle name="t_marlswat_GOL Financial Model - Bank Case NOV08 GECAS_MODELO PDP III" xfId="5779" xr:uid="{00000000-0005-0000-0000-000002230000}"/>
    <cellStyle name="t_marlswat_GOL Financial Model (monthly-2007)" xfId="5780" xr:uid="{00000000-0005-0000-0000-000003230000}"/>
    <cellStyle name="t_marlswat_GOL Financial Model (monthly-2007)_FM_dummyV4" xfId="5781" xr:uid="{00000000-0005-0000-0000-000004230000}"/>
    <cellStyle name="t_marlswat_GOL Financial Model (monthly-2007)_Leasing_V3" xfId="5782" xr:uid="{00000000-0005-0000-0000-000005230000}"/>
    <cellStyle name="t_marlswat_GOL Financial Model (monthly-2007)_MODELO PDP III" xfId="5783" xr:uid="{00000000-0005-0000-0000-000006230000}"/>
    <cellStyle name="t_marlswat_GOL Financial Model (monthly-2007)_ORÇ_2009" xfId="5784" xr:uid="{00000000-0005-0000-0000-000007230000}"/>
    <cellStyle name="t_marlswat_GOL Financial Model Budget" xfId="5785" xr:uid="{00000000-0005-0000-0000-000008230000}"/>
    <cellStyle name="t_marlswat_GOL Financial Model Budget v3A" xfId="5786" xr:uid="{00000000-0005-0000-0000-000009230000}"/>
    <cellStyle name="t_marlswat_GOL Financial Model Budget v3A (temp)" xfId="5787" xr:uid="{00000000-0005-0000-0000-00000A230000}"/>
    <cellStyle name="t_marlswat_GOL Financial Model Budget v3A (temp)_FM_dummyV4" xfId="5788" xr:uid="{00000000-0005-0000-0000-00000B230000}"/>
    <cellStyle name="t_marlswat_GOL Financial Model Budget v3A (temp)_Leasing_V3" xfId="5789" xr:uid="{00000000-0005-0000-0000-00000C230000}"/>
    <cellStyle name="t_marlswat_GOL Financial Model Budget v3A (temp)_MODELO PDP III" xfId="5790" xr:uid="{00000000-0005-0000-0000-00000D230000}"/>
    <cellStyle name="t_marlswat_GOL Financial Model Budget v3A (temp)_ORÇ_2009" xfId="5791" xr:uid="{00000000-0005-0000-0000-00000E230000}"/>
    <cellStyle name="t_marlswat_GOL Financial Model Budget v3A_FM_dummyV4" xfId="5792" xr:uid="{00000000-0005-0000-0000-00000F230000}"/>
    <cellStyle name="t_marlswat_GOL Financial Model Budget v3A_Leasing_V3" xfId="5793" xr:uid="{00000000-0005-0000-0000-000010230000}"/>
    <cellStyle name="t_marlswat_GOL Financial Model Budget v3A_MODELO PDP III" xfId="5794" xr:uid="{00000000-0005-0000-0000-000011230000}"/>
    <cellStyle name="t_marlswat_GOL Financial Model Budget v3A_ORÇ_2009" xfId="5795" xr:uid="{00000000-0005-0000-0000-000012230000}"/>
    <cellStyle name="t_marlswat_GOL Financial Model Budget_FM_dummyV4" xfId="5796" xr:uid="{00000000-0005-0000-0000-000013230000}"/>
    <cellStyle name="t_marlswat_GOL Financial Model Budget_Leasing_V3" xfId="5797" xr:uid="{00000000-0005-0000-0000-000014230000}"/>
    <cellStyle name="t_marlswat_GOL Financial Model Budget_MODELO PDP III" xfId="5798" xr:uid="{00000000-0005-0000-0000-000015230000}"/>
    <cellStyle name="t_marlswat_GOL Financial Model Budget_ORÇ_2009" xfId="5799" xr:uid="{00000000-0005-0000-0000-000016230000}"/>
    <cellStyle name="t_marlswat_GOL Financial Model MONTHLY 2006 v05" xfId="5800" xr:uid="{00000000-0005-0000-0000-000017230000}"/>
    <cellStyle name="t_marlswat_GOL Financial Model MONTHLY 2006 v05_FM_dummyV4" xfId="5801" xr:uid="{00000000-0005-0000-0000-000018230000}"/>
    <cellStyle name="t_marlswat_GOL Financial Model MONTHLY 2006 v05_Leasing_V3" xfId="5802" xr:uid="{00000000-0005-0000-0000-000019230000}"/>
    <cellStyle name="t_marlswat_GOL Financial Model MONTHLY 2006 v05_MODELO PDP III" xfId="5803" xr:uid="{00000000-0005-0000-0000-00001A230000}"/>
    <cellStyle name="t_marlswat_GOL Financial Model MONTHLY 2006 v05_ORÇ_2009" xfId="5804" xr:uid="{00000000-0005-0000-0000-00001B230000}"/>
    <cellStyle name="t_marlswat_GOL Financial Model ORC2007 v10" xfId="5805" xr:uid="{00000000-0005-0000-0000-00001C230000}"/>
    <cellStyle name="t_marlswat_GOL Financial Model ORC2007 v10_FM_dummyV4" xfId="5806" xr:uid="{00000000-0005-0000-0000-00001D230000}"/>
    <cellStyle name="t_marlswat_GOL Financial Model ORC2007 v10_Leasing_V3" xfId="5807" xr:uid="{00000000-0005-0000-0000-00001E230000}"/>
    <cellStyle name="t_marlswat_GOL Financial Model ORC2007 v10_MODELO PDP III" xfId="5808" xr:uid="{00000000-0005-0000-0000-00001F230000}"/>
    <cellStyle name="t_marlswat_GOL Financial Model ORC2007 v10_ORÇ_2009" xfId="5809" xr:uid="{00000000-0005-0000-0000-000020230000}"/>
    <cellStyle name="t_marlswat_GOL Financial Model ORC2007 v11" xfId="5810" xr:uid="{00000000-0005-0000-0000-000021230000}"/>
    <cellStyle name="t_marlswat_GOL Financial Model ORC2007 v11_FM_dummyV4" xfId="5811" xr:uid="{00000000-0005-0000-0000-000022230000}"/>
    <cellStyle name="t_marlswat_GOL Financial Model ORC2007 v11_Leasing_V3" xfId="5812" xr:uid="{00000000-0005-0000-0000-000023230000}"/>
    <cellStyle name="t_marlswat_GOL Financial Model ORC2007 v11_MODELO PDP III" xfId="5813" xr:uid="{00000000-0005-0000-0000-000024230000}"/>
    <cellStyle name="t_marlswat_GOL Financial Model ORC2007 v11_ORÇ_2009" xfId="5814" xr:uid="{00000000-0005-0000-0000-000025230000}"/>
    <cellStyle name="t_marlswat_GOL Financial Model ORC2007 v16" xfId="5815" xr:uid="{00000000-0005-0000-0000-000026230000}"/>
    <cellStyle name="t_marlswat_GOL Financial Model ORC2007 v16_FM_dummyV4" xfId="5816" xr:uid="{00000000-0005-0000-0000-000027230000}"/>
    <cellStyle name="t_marlswat_GOL Financial Model ORC2007 v16_Leasing_V3" xfId="5817" xr:uid="{00000000-0005-0000-0000-000028230000}"/>
    <cellStyle name="t_marlswat_GOL Financial Model ORC2007 v16_MODELO PDP III" xfId="5818" xr:uid="{00000000-0005-0000-0000-000029230000}"/>
    <cellStyle name="t_marlswat_GOL Financial Model ORC2007 v16_ORÇ_2009" xfId="5819" xr:uid="{00000000-0005-0000-0000-00002A230000}"/>
    <cellStyle name="t_marlswat_GOL Financial Model_FM_dummyV4" xfId="5820" xr:uid="{00000000-0005-0000-0000-00002B230000}"/>
    <cellStyle name="t_marlswat_GOL Financial Model_Leasing_V3" xfId="5821" xr:uid="{00000000-0005-0000-0000-00002C230000}"/>
    <cellStyle name="t_marlswat_GOL Financial Model_MODELO PDP III" xfId="5822" xr:uid="{00000000-0005-0000-0000-00002D230000}"/>
    <cellStyle name="t_marlswat_GOL Financial Model_ORÇ_2009" xfId="5823" xr:uid="{00000000-0005-0000-0000-00002E230000}"/>
    <cellStyle name="t_marlswat_GOL Financial Model_ORC2008 v11" xfId="5824" xr:uid="{00000000-0005-0000-0000-00002F230000}"/>
    <cellStyle name="t_marlswat_GOL Financial Model_ORC2008 v11_FM_dummyV4" xfId="5825" xr:uid="{00000000-0005-0000-0000-000030230000}"/>
    <cellStyle name="t_marlswat_GOL Financial Model_ORC2008 v11_Leasing_V3" xfId="5826" xr:uid="{00000000-0005-0000-0000-000031230000}"/>
    <cellStyle name="t_marlswat_GOL Financial Model_ORC2008 v11_MODELO PDP III" xfId="5827" xr:uid="{00000000-0005-0000-0000-000032230000}"/>
    <cellStyle name="t_marlswat_GOL Financial Model_ORC2008 v11_ORÇ_2009" xfId="5828" xr:uid="{00000000-0005-0000-0000-000033230000}"/>
    <cellStyle name="t_marlswat_GOL Financial Model_ORC2008 v17" xfId="5829" xr:uid="{00000000-0005-0000-0000-000034230000}"/>
    <cellStyle name="t_marlswat_GOL Financial Model_ORC2008 v17_FM_dummyV4" xfId="5830" xr:uid="{00000000-0005-0000-0000-000035230000}"/>
    <cellStyle name="t_marlswat_GOL Financial Model_ORC2008 v17_Leasing_V3" xfId="5831" xr:uid="{00000000-0005-0000-0000-000036230000}"/>
    <cellStyle name="t_marlswat_GOL Financial Model_ORC2008 v17_MODELO PDP III" xfId="5832" xr:uid="{00000000-0005-0000-0000-000037230000}"/>
    <cellStyle name="t_marlswat_GOL Financial Model_ORC2008 v17_ORÇ_2009" xfId="5833" xr:uid="{00000000-0005-0000-0000-000038230000}"/>
    <cellStyle name="t_marlswat_GOL Financial Model_ORC2008 v26.1" xfId="5834" xr:uid="{00000000-0005-0000-0000-000039230000}"/>
    <cellStyle name="t_marlswat_GOL Financial Model_ORC2008 v26.1_FM_dummyV4" xfId="5835" xr:uid="{00000000-0005-0000-0000-00003A230000}"/>
    <cellStyle name="t_marlswat_GOL Financial Model_ORC2008 v26.1_Leasing_V3" xfId="5836" xr:uid="{00000000-0005-0000-0000-00003B230000}"/>
    <cellStyle name="t_marlswat_GOL Financial Model_ORC2008 v26.1_MODELO PDP III" xfId="5837" xr:uid="{00000000-0005-0000-0000-00003C230000}"/>
    <cellStyle name="t_marlswat_GOL Financial Model_ORC2008 v26.1_ORÇ_2009" xfId="5838" xr:uid="{00000000-0005-0000-0000-00003D230000}"/>
    <cellStyle name="t_marlswat_GOL Financial Model_ORC2008 v6" xfId="5839" xr:uid="{00000000-0005-0000-0000-00003E230000}"/>
    <cellStyle name="t_marlswat_GOL Financial Model_ORC2008 v6_FM_dummyV4" xfId="5840" xr:uid="{00000000-0005-0000-0000-00003F230000}"/>
    <cellStyle name="t_marlswat_GOL Financial Model_ORC2008 v6_Leasing_V3" xfId="5841" xr:uid="{00000000-0005-0000-0000-000040230000}"/>
    <cellStyle name="t_marlswat_GOL Financial Model_ORC2008 v6_MODELO PDP III" xfId="5842" xr:uid="{00000000-0005-0000-0000-000041230000}"/>
    <cellStyle name="t_marlswat_GOL Financial Model_ORC2008 v6_ORÇ_2009" xfId="5843" xr:uid="{00000000-0005-0000-0000-000042230000}"/>
    <cellStyle name="t_marlswat_GOL Financial Model_ORC2009V10" xfId="5844" xr:uid="{00000000-0005-0000-0000-000043230000}"/>
    <cellStyle name="t_marlswat_GOL Financial Model_ORC2009V10_FM_dummyV4" xfId="5845" xr:uid="{00000000-0005-0000-0000-000044230000}"/>
    <cellStyle name="t_marlswat_GOL Financial Model_ORC2009V10_Leasing_V3" xfId="5846" xr:uid="{00000000-0005-0000-0000-000045230000}"/>
    <cellStyle name="t_marlswat_GOL Financial Model_ORC2009V10_MODELO PDP III" xfId="5847" xr:uid="{00000000-0005-0000-0000-000046230000}"/>
    <cellStyle name="t_marlswat_GOL Financial Model_ORC2009V10_ORÇ_2009" xfId="5848" xr:uid="{00000000-0005-0000-0000-000047230000}"/>
    <cellStyle name="t_marlswat_GOL Financial Model_ORC2009V2" xfId="5849" xr:uid="{00000000-0005-0000-0000-000048230000}"/>
    <cellStyle name="t_marlswat_GOL Financial Model_ORC2009V2_FM_dummyV4" xfId="5850" xr:uid="{00000000-0005-0000-0000-000049230000}"/>
    <cellStyle name="t_marlswat_GOL Financial Model_ORC2009V2_Leasing_V3" xfId="5851" xr:uid="{00000000-0005-0000-0000-00004A230000}"/>
    <cellStyle name="t_marlswat_GOL Financial Model_ORC2009V2_MODELO PDP III" xfId="5852" xr:uid="{00000000-0005-0000-0000-00004B230000}"/>
    <cellStyle name="t_marlswat_GOL Financial Model_ORC2009V2_ORÇ_2009" xfId="5853" xr:uid="{00000000-0005-0000-0000-00004C230000}"/>
    <cellStyle name="t_marlswat_GOL Financial Model_ORC2009V27" xfId="5854" xr:uid="{00000000-0005-0000-0000-00004D230000}"/>
    <cellStyle name="t_marlswat_GOL Financial Model_ORC2009V27_ORÇ_2009" xfId="5855" xr:uid="{00000000-0005-0000-0000-00004E230000}"/>
    <cellStyle name="t_marlswat_GOL Financial Model_ORC2009V3" xfId="5856" xr:uid="{00000000-0005-0000-0000-00004F230000}"/>
    <cellStyle name="t_marlswat_GOL Financial Model_ORC2009V3_FM_dummyV4" xfId="5857" xr:uid="{00000000-0005-0000-0000-000050230000}"/>
    <cellStyle name="t_marlswat_GOL Financial Model_ORC2009V3_Leasing_V3" xfId="5858" xr:uid="{00000000-0005-0000-0000-000051230000}"/>
    <cellStyle name="t_marlswat_GOL Financial Model_ORC2009V3_MODELO PDP III" xfId="5859" xr:uid="{00000000-0005-0000-0000-000052230000}"/>
    <cellStyle name="t_marlswat_GOL Financial Model_ORC2009V3_ORÇ_2009" xfId="5860" xr:uid="{00000000-0005-0000-0000-000053230000}"/>
    <cellStyle name="t_marlswat_GOL Financial Model_ORC2009V5" xfId="5861" xr:uid="{00000000-0005-0000-0000-000054230000}"/>
    <cellStyle name="t_marlswat_GOL Financial Model_ORC2009V5_FM_dummyV4" xfId="5862" xr:uid="{00000000-0005-0000-0000-000055230000}"/>
    <cellStyle name="t_marlswat_GOL Financial Model_ORC2009V5_Leasing_V3" xfId="5863" xr:uid="{00000000-0005-0000-0000-000056230000}"/>
    <cellStyle name="t_marlswat_GOL Financial Model_ORC2009V5_MODELO PDP III" xfId="5864" xr:uid="{00000000-0005-0000-0000-000057230000}"/>
    <cellStyle name="t_marlswat_GOL Financial Model_ORC2009V5_ORÇ_2009" xfId="5865" xr:uid="{00000000-0005-0000-0000-000058230000}"/>
    <cellStyle name="t_marlswat_GOL Financial Model_ORC2009V6" xfId="5866" xr:uid="{00000000-0005-0000-0000-000059230000}"/>
    <cellStyle name="t_marlswat_GOL Financial Model_ORC2009V6_FM_dummyV4" xfId="5867" xr:uid="{00000000-0005-0000-0000-00005A230000}"/>
    <cellStyle name="t_marlswat_GOL Financial Model_ORC2009V6_Leasing_V3" xfId="5868" xr:uid="{00000000-0005-0000-0000-00005B230000}"/>
    <cellStyle name="t_marlswat_GOL Financial Model_ORC2009V6_MODELO PDP III" xfId="5869" xr:uid="{00000000-0005-0000-0000-00005C230000}"/>
    <cellStyle name="t_marlswat_GOL Financial Model_ORC2009V6_ORÇ_2009" xfId="5870" xr:uid="{00000000-0005-0000-0000-00005D230000}"/>
    <cellStyle name="t_marlswat_GOL Financial Model_ORC2009V8_taxes" xfId="5871" xr:uid="{00000000-0005-0000-0000-00005E230000}"/>
    <cellStyle name="t_marlswat_GOL Financial Model_ORC2009V8_taxes_FM_dummyV4" xfId="5872" xr:uid="{00000000-0005-0000-0000-00005F230000}"/>
    <cellStyle name="t_marlswat_GOL Financial Model_ORC2009V8_taxes_Leasing_V3" xfId="5873" xr:uid="{00000000-0005-0000-0000-000060230000}"/>
    <cellStyle name="t_marlswat_GOL Financial Model_ORC2009V8_taxes_MODELO PDP III" xfId="5874" xr:uid="{00000000-0005-0000-0000-000061230000}"/>
    <cellStyle name="t_marlswat_GOL Financial Model_ORC2009V8_taxes_ORÇ_2009" xfId="5875" xr:uid="{00000000-0005-0000-0000-000062230000}"/>
    <cellStyle name="t_marlswat_GOL Financial Model_update" xfId="5876" xr:uid="{00000000-0005-0000-0000-000063230000}"/>
    <cellStyle name="t_marlswat_GOL Financial Model_update_FM_dummyV4" xfId="5877" xr:uid="{00000000-0005-0000-0000-000064230000}"/>
    <cellStyle name="t_marlswat_GOL Financial Model_update_Leasing_V3" xfId="5878" xr:uid="{00000000-0005-0000-0000-000065230000}"/>
    <cellStyle name="t_marlswat_GOL Financial Model_update_MODELO PDP III" xfId="5879" xr:uid="{00000000-0005-0000-0000-000066230000}"/>
    <cellStyle name="t_marlswat_GOL Financial Model_update_ORÇ_2009" xfId="5880" xr:uid="{00000000-0005-0000-0000-000067230000}"/>
    <cellStyle name="t_marlswat_GOL Financial ModelPROJ2008" xfId="5881" xr:uid="{00000000-0005-0000-0000-000068230000}"/>
    <cellStyle name="t_marlswat_GOL Financial ModelPROJ2008_FM_dummyV4" xfId="5882" xr:uid="{00000000-0005-0000-0000-000069230000}"/>
    <cellStyle name="t_marlswat_GOL Financial ModelPROJ2008_Leasing_V3" xfId="5883" xr:uid="{00000000-0005-0000-0000-00006A230000}"/>
    <cellStyle name="t_marlswat_GOL Financial ModelPROJ2008_MODELO PDP III" xfId="5884" xr:uid="{00000000-0005-0000-0000-00006B230000}"/>
    <cellStyle name="t_marlswat_GOL Financial ModelPROJ2008_ORÇ_2009" xfId="5885" xr:uid="{00000000-0005-0000-0000-00006C230000}"/>
    <cellStyle name="t_marlswat_GOL Financial ModelPROJ2008_taxes" xfId="5886" xr:uid="{00000000-0005-0000-0000-00006D230000}"/>
    <cellStyle name="t_marlswat_GOL Financial ModelPROJ2008_taxes_FM_dummyV4" xfId="5887" xr:uid="{00000000-0005-0000-0000-00006E230000}"/>
    <cellStyle name="t_marlswat_GOL Financial ModelPROJ2008_taxes_Leasing_V3" xfId="5888" xr:uid="{00000000-0005-0000-0000-00006F230000}"/>
    <cellStyle name="t_marlswat_GOL Financial ModelPROJ2008_taxes_MODELO PDP III" xfId="5889" xr:uid="{00000000-0005-0000-0000-000070230000}"/>
    <cellStyle name="t_marlswat_GOL Financial ModelPROJ2008_taxes_ORÇ_2009" xfId="5890" xr:uid="{00000000-0005-0000-0000-000071230000}"/>
    <cellStyle name="t_marlswat_GOL Financial ModelPROJ2008V5" xfId="5891" xr:uid="{00000000-0005-0000-0000-000072230000}"/>
    <cellStyle name="t_marlswat_GOL Financial ModelPROJ2008V5_FM_dummyV4" xfId="5892" xr:uid="{00000000-0005-0000-0000-000073230000}"/>
    <cellStyle name="t_marlswat_GOL Financial ModelPROJ2008V5_Leasing_V3" xfId="5893" xr:uid="{00000000-0005-0000-0000-000074230000}"/>
    <cellStyle name="t_marlswat_GOL Financial ModelPROJ2008V5_MODELO PDP III" xfId="5894" xr:uid="{00000000-0005-0000-0000-000075230000}"/>
    <cellStyle name="t_marlswat_GOL Financial ModelPROJ2008V5_ORÇ_2009" xfId="5895" xr:uid="{00000000-0005-0000-0000-000076230000}"/>
    <cellStyle name="t_marlswat_lalur" xfId="5896" xr:uid="{00000000-0005-0000-0000-000077230000}"/>
    <cellStyle name="t_marlswat_Leasing_V3" xfId="5897" xr:uid="{00000000-0005-0000-0000-000078230000}"/>
    <cellStyle name="t_marlswat_Model Back-up (10SEP)" xfId="5898" xr:uid="{00000000-0005-0000-0000-000079230000}"/>
    <cellStyle name="t_marlswat_Model Back-up (10SEP)_FM_dummyV4" xfId="5899" xr:uid="{00000000-0005-0000-0000-00007A230000}"/>
    <cellStyle name="t_marlswat_Model Back-up (10SEP)_Leasing_V3" xfId="5900" xr:uid="{00000000-0005-0000-0000-00007B230000}"/>
    <cellStyle name="t_marlswat_Model Back-up (10SEP)_MODELO PDP III" xfId="5901" xr:uid="{00000000-0005-0000-0000-00007C230000}"/>
    <cellStyle name="t_marlswat_Model Back-up (10SEP)_ORÇ_2009" xfId="5902" xr:uid="{00000000-0005-0000-0000-00007D230000}"/>
    <cellStyle name="t_marlswat_MODELO PDP III" xfId="5903" xr:uid="{00000000-0005-0000-0000-00007E230000}"/>
    <cellStyle name="t_marlswat_Operating Statistics 2001_02_03_04 - ok IPO" xfId="5904" xr:uid="{00000000-0005-0000-0000-00007F230000}"/>
    <cellStyle name="t_marlswat_Operating Statistics 2001_02_03_04 - ok IPO 2" xfId="9157" xr:uid="{00000000-0005-0000-0000-000080230000}"/>
    <cellStyle name="t_marlswat_Operating Statistics 2001_02_03_04 - ok IPO_Comparativo VP FIN v1_So 2008" xfId="9158" xr:uid="{00000000-0005-0000-0000-000081230000}"/>
    <cellStyle name="t_marlswat_Operating Statistics 2001_02_03_04 - ok IPO_Comparativo VP FIN v1_So 2008 2" xfId="9159" xr:uid="{00000000-0005-0000-0000-000082230000}"/>
    <cellStyle name="t_marlswat_Operating Statistics 2001_02_03_04 - ok IPO_Comparativo VP MKT 2008 v1_So 2008" xfId="9160" xr:uid="{00000000-0005-0000-0000-000083230000}"/>
    <cellStyle name="t_marlswat_Operating Statistics 2001_02_03_04 - ok IPO_Comparativo VP MKT 2008 v1_So 2008 2" xfId="9161" xr:uid="{00000000-0005-0000-0000-000084230000}"/>
    <cellStyle name="t_marlswat_Operating Statistics 2001_02_03_04 - ok IPO_Comparativo VP TEC 2008 v1_So 2008" xfId="9162" xr:uid="{00000000-0005-0000-0000-000085230000}"/>
    <cellStyle name="t_marlswat_Operating Statistics 2001_02_03_04 - ok IPO_Comparativo VP TEC 2008 v1_So 2008 2" xfId="9163" xr:uid="{00000000-0005-0000-0000-000086230000}"/>
    <cellStyle name="t_marlswat_Operating Statistics 2001_02_03_04 - ok IPO_Comparativo VP TEC 2008_Luiz Sergio" xfId="9164" xr:uid="{00000000-0005-0000-0000-000087230000}"/>
    <cellStyle name="t_marlswat_Operating Statistics 2001_02_03_04 - ok IPO_Comparativo VP TEC 2008_Luiz Sergio 2" xfId="9165" xr:uid="{00000000-0005-0000-0000-000088230000}"/>
    <cellStyle name="t_marlswat_Operating Statistics 2001_02_03_04 - ok IPO_Cópia de Modelo - Fluxo de Caixa Orcamento 09052009_V36_3" xfId="5905" xr:uid="{00000000-0005-0000-0000-000089230000}"/>
    <cellStyle name="t_marlswat_Operating Statistics 2001_02_03_04 - ok IPO_Fluxo de Caixa Orcamento FINAL_13052009" xfId="5906" xr:uid="{00000000-0005-0000-0000-00008A230000}"/>
    <cellStyle name="t_marlswat_Operating Statistics 2001_02_03_04 - ok IPO_FM_dummyV4" xfId="5907" xr:uid="{00000000-0005-0000-0000-00008B230000}"/>
    <cellStyle name="t_marlswat_Operating Statistics 2001_02_03_04 - ok IPO_lalur" xfId="5908" xr:uid="{00000000-0005-0000-0000-00008C230000}"/>
    <cellStyle name="t_marlswat_Operating Statistics 2001_02_03_04 - ok IPO_Leasing_V3" xfId="5909" xr:uid="{00000000-0005-0000-0000-00008D230000}"/>
    <cellStyle name="t_marlswat_Operating Statistics 2001_02_03_04 - ok IPO_MODELO PDP III" xfId="5910" xr:uid="{00000000-0005-0000-0000-00008E230000}"/>
    <cellStyle name="t_marlswat_Operating Statistics 2001_02_03_04 - ok IPO_ORÇ_2009" xfId="5911" xr:uid="{00000000-0005-0000-0000-00008F230000}"/>
    <cellStyle name="t_marlswat_Operating Statistics 2001_02_03_04 - ok IPO_Pasta2" xfId="5912" xr:uid="{00000000-0005-0000-0000-000090230000}"/>
    <cellStyle name="t_marlswat_ORÇ_2009" xfId="5913" xr:uid="{00000000-0005-0000-0000-000091230000}"/>
    <cellStyle name="t_marlswat_Pasta1" xfId="5914" xr:uid="{00000000-0005-0000-0000-000092230000}"/>
    <cellStyle name="t_marlswat_Pasta1_FM_dummyV4" xfId="5915" xr:uid="{00000000-0005-0000-0000-000093230000}"/>
    <cellStyle name="t_marlswat_Pasta1_Leasing_V3" xfId="5916" xr:uid="{00000000-0005-0000-0000-000094230000}"/>
    <cellStyle name="t_marlswat_Pasta1_MODELO PDP III" xfId="5917" xr:uid="{00000000-0005-0000-0000-000095230000}"/>
    <cellStyle name="t_marlswat_Pasta1_ORÇ_2009" xfId="5918" xr:uid="{00000000-0005-0000-0000-000096230000}"/>
    <cellStyle name="t_marlswat_Pasta2" xfId="5919" xr:uid="{00000000-0005-0000-0000-000097230000}"/>
    <cellStyle name="t_marlswat_Q2 pipeline" xfId="5920" xr:uid="{00000000-0005-0000-0000-000098230000}"/>
    <cellStyle name="t_marlswat_Q2 pipeline 2" xfId="9166" xr:uid="{00000000-0005-0000-0000-000099230000}"/>
    <cellStyle name="t_marlswat_Q2 pipeline_Cópia de Modelo - Fluxo de Caixa Orcamento 09052009_V36_3" xfId="5921" xr:uid="{00000000-0005-0000-0000-00009A230000}"/>
    <cellStyle name="t_marlswat_Q2 pipeline_Cópia de Modelo - Fluxo de Caixa Orcamento 09052009_V36_3 2" xfId="9167" xr:uid="{00000000-0005-0000-0000-00009B230000}"/>
    <cellStyle name="t_marlswat_Q2 pipeline_Fluxo de Caixa Orcamento FINAL_13052009" xfId="5922" xr:uid="{00000000-0005-0000-0000-00009C230000}"/>
    <cellStyle name="t_marlswat_Q2 pipeline_Fluxo de Caixa Orcamento FINAL_13052009 2" xfId="9168" xr:uid="{00000000-0005-0000-0000-00009D230000}"/>
    <cellStyle name="t_marlswat_Q2 pipeline_FM_dummyV4" xfId="5923" xr:uid="{00000000-0005-0000-0000-00009E230000}"/>
    <cellStyle name="t_marlswat_Q2 pipeline_lalur" xfId="5924" xr:uid="{00000000-0005-0000-0000-00009F230000}"/>
    <cellStyle name="t_marlswat_Q2 pipeline_Leasing_V3" xfId="5925" xr:uid="{00000000-0005-0000-0000-0000A0230000}"/>
    <cellStyle name="t_marlswat_Q2 pipeline_MODELO PDP III" xfId="5926" xr:uid="{00000000-0005-0000-0000-0000A1230000}"/>
    <cellStyle name="t_marlswat_Q2 pipeline_ORÇ_2009" xfId="5927" xr:uid="{00000000-0005-0000-0000-0000A2230000}"/>
    <cellStyle name="t_marlswat_Q2 pipeline_ORÇ_2009 2" xfId="9169" xr:uid="{00000000-0005-0000-0000-0000A3230000}"/>
    <cellStyle name="t_marlswat_Q2 pipeline_Pasta2" xfId="5928" xr:uid="{00000000-0005-0000-0000-0000A4230000}"/>
    <cellStyle name="t_marlswat_Q2 pipeline_Pasta2 2" xfId="9170" xr:uid="{00000000-0005-0000-0000-0000A5230000}"/>
    <cellStyle name="t_ML_C34.XLS Chart 2" xfId="5929" xr:uid="{00000000-0005-0000-0000-0000A6230000}"/>
    <cellStyle name="t_ML_C34.XLS Chart 2 2" xfId="9171" xr:uid="{00000000-0005-0000-0000-0000A7230000}"/>
    <cellStyle name="t_ML_C34.XLS Chart 2_Comparativo VP FIN v1_So 2008" xfId="9172" xr:uid="{00000000-0005-0000-0000-0000A8230000}"/>
    <cellStyle name="t_ML_C34.XLS Chart 2_Comparativo VP FIN v1_So 2008 2" xfId="9173" xr:uid="{00000000-0005-0000-0000-0000A9230000}"/>
    <cellStyle name="t_ML_C34.XLS Chart 2_Comparativo VP MKT 2008 v1_So 2008" xfId="9174" xr:uid="{00000000-0005-0000-0000-0000AA230000}"/>
    <cellStyle name="t_ML_C34.XLS Chart 2_Comparativo VP MKT 2008 v1_So 2008 2" xfId="9175" xr:uid="{00000000-0005-0000-0000-0000AB230000}"/>
    <cellStyle name="t_ML_C34.XLS Chart 2_Comparativo VP TEC 2008 v1_So 2008" xfId="9176" xr:uid="{00000000-0005-0000-0000-0000AC230000}"/>
    <cellStyle name="t_ML_C34.XLS Chart 2_Comparativo VP TEC 2008 v1_So 2008 2" xfId="9177" xr:uid="{00000000-0005-0000-0000-0000AD230000}"/>
    <cellStyle name="t_ML_C34.XLS Chart 2_Comparativo VP TEC 2008_Luiz Sergio" xfId="9178" xr:uid="{00000000-0005-0000-0000-0000AE230000}"/>
    <cellStyle name="t_ML_C34.XLS Chart 2_Comparativo VP TEC 2008_Luiz Sergio 2" xfId="9179" xr:uid="{00000000-0005-0000-0000-0000AF230000}"/>
    <cellStyle name="t_ML_C34.XLS Chart 2_Cópia de Modelo - Fluxo de Caixa Orcamento 09052009_V36_3" xfId="5930" xr:uid="{00000000-0005-0000-0000-0000B0230000}"/>
    <cellStyle name="t_ML_C34.XLS Chart 2_Fluxo de Caixa Orcamento FINAL_13052009" xfId="5931" xr:uid="{00000000-0005-0000-0000-0000B1230000}"/>
    <cellStyle name="t_ML_C34.XLS Chart 2_FM_dummyV4" xfId="5932" xr:uid="{00000000-0005-0000-0000-0000B2230000}"/>
    <cellStyle name="t_ML_C34.XLS Chart 2_lalur" xfId="5933" xr:uid="{00000000-0005-0000-0000-0000B3230000}"/>
    <cellStyle name="t_ML_C34.XLS Chart 2_Leasing_V3" xfId="5934" xr:uid="{00000000-0005-0000-0000-0000B4230000}"/>
    <cellStyle name="t_ML_C34.XLS Chart 2_MODELO PDP III" xfId="5935" xr:uid="{00000000-0005-0000-0000-0000B5230000}"/>
    <cellStyle name="t_ML_C34.XLS Chart 2_ORÇ_2009" xfId="5936" xr:uid="{00000000-0005-0000-0000-0000B6230000}"/>
    <cellStyle name="t_ML_C34.XLS Chart 2_Pasta2" xfId="5937" xr:uid="{00000000-0005-0000-0000-0000B7230000}"/>
    <cellStyle name="t_ML_C34.XLS Chart 2_Q2 pipeline" xfId="5938" xr:uid="{00000000-0005-0000-0000-0000B8230000}"/>
    <cellStyle name="t_ML_C34.XLS Chart 2_Q2 pipeline 2" xfId="9180" xr:uid="{00000000-0005-0000-0000-0000B9230000}"/>
    <cellStyle name="t_ML_C34.XLS Chart 2_Q2 pipeline_Cópia de Modelo - Fluxo de Caixa Orcamento 09052009_V36_3" xfId="5939" xr:uid="{00000000-0005-0000-0000-0000BA230000}"/>
    <cellStyle name="t_ML_C34.XLS Chart 2_Q2 pipeline_Cópia de Modelo - Fluxo de Caixa Orcamento 09052009_V36_3 2" xfId="9181" xr:uid="{00000000-0005-0000-0000-0000BB230000}"/>
    <cellStyle name="t_ML_C34.XLS Chart 2_Q2 pipeline_Fluxo de Caixa Orcamento FINAL_13052009" xfId="5940" xr:uid="{00000000-0005-0000-0000-0000BC230000}"/>
    <cellStyle name="t_ML_C34.XLS Chart 2_Q2 pipeline_Fluxo de Caixa Orcamento FINAL_13052009 2" xfId="9182" xr:uid="{00000000-0005-0000-0000-0000BD230000}"/>
    <cellStyle name="t_ML_C34.XLS Chart 2_Q2 pipeline_FM_dummyV4" xfId="5941" xr:uid="{00000000-0005-0000-0000-0000BE230000}"/>
    <cellStyle name="t_ML_C34.XLS Chart 2_Q2 pipeline_lalur" xfId="5942" xr:uid="{00000000-0005-0000-0000-0000BF230000}"/>
    <cellStyle name="t_ML_C34.XLS Chart 2_Q2 pipeline_Leasing_V3" xfId="5943" xr:uid="{00000000-0005-0000-0000-0000C0230000}"/>
    <cellStyle name="t_ML_C34.XLS Chart 2_Q2 pipeline_MODELO PDP III" xfId="5944" xr:uid="{00000000-0005-0000-0000-0000C1230000}"/>
    <cellStyle name="t_ML_C34.XLS Chart 2_Q2 pipeline_ORÇ_2009" xfId="5945" xr:uid="{00000000-0005-0000-0000-0000C2230000}"/>
    <cellStyle name="t_ML_C34.XLS Chart 2_Q2 pipeline_ORÇ_2009 2" xfId="9183" xr:uid="{00000000-0005-0000-0000-0000C3230000}"/>
    <cellStyle name="t_ML_C34.XLS Chart 2_Q2 pipeline_Pasta2" xfId="5946" xr:uid="{00000000-0005-0000-0000-0000C4230000}"/>
    <cellStyle name="t_ML_C34.XLS Chart 2_Q2 pipeline_Pasta2 2" xfId="9184" xr:uid="{00000000-0005-0000-0000-0000C5230000}"/>
    <cellStyle name="t_MODELO PDP III" xfId="5947" xr:uid="{00000000-0005-0000-0000-0000C6230000}"/>
    <cellStyle name="t_NewOrl_cons" xfId="5948" xr:uid="{00000000-0005-0000-0000-0000C7230000}"/>
    <cellStyle name="t_NewOrl_cons_Comparativo VP FIN v1_So 2008" xfId="9185" xr:uid="{00000000-0005-0000-0000-0000C8230000}"/>
    <cellStyle name="t_NewOrl_cons_Comparativo VP MKT 2008 v1_So 2008" xfId="9186" xr:uid="{00000000-0005-0000-0000-0000C9230000}"/>
    <cellStyle name="t_NewOrl_cons_Comparativo VP TEC 2008 v1_So 2008" xfId="9187" xr:uid="{00000000-0005-0000-0000-0000CA230000}"/>
    <cellStyle name="t_NewOrl_cons_Comparativo VP TEC 2008_Luiz Sergio" xfId="9188" xr:uid="{00000000-0005-0000-0000-0000CB230000}"/>
    <cellStyle name="t_NewOrl_cons_Cópia de Modelo - Fluxo de Caixa Orcamento 09052009_V36_3" xfId="5949" xr:uid="{00000000-0005-0000-0000-0000CC230000}"/>
    <cellStyle name="t_NewOrl_cons_Fluxo de Caixa Orcamento FINAL_13052009" xfId="5950" xr:uid="{00000000-0005-0000-0000-0000CD230000}"/>
    <cellStyle name="t_NewOrl_cons_FM_dummyV4" xfId="5951" xr:uid="{00000000-0005-0000-0000-0000CE230000}"/>
    <cellStyle name="t_NewOrl_cons_lalur" xfId="5952" xr:uid="{00000000-0005-0000-0000-0000CF230000}"/>
    <cellStyle name="t_NewOrl_cons_Leasing_V3" xfId="5953" xr:uid="{00000000-0005-0000-0000-0000D0230000}"/>
    <cellStyle name="t_NewOrl_cons_MODELO PDP III" xfId="5954" xr:uid="{00000000-0005-0000-0000-0000D1230000}"/>
    <cellStyle name="t_NewOrl_cons_ORÇ_2009" xfId="5955" xr:uid="{00000000-0005-0000-0000-0000D2230000}"/>
    <cellStyle name="t_NewOrl_cons_Pasta2" xfId="5956" xr:uid="{00000000-0005-0000-0000-0000D3230000}"/>
    <cellStyle name="t_NewOrl_cons_Q2 pipeline" xfId="5957" xr:uid="{00000000-0005-0000-0000-0000D4230000}"/>
    <cellStyle name="t_NewOrl_cons_Q2 pipeline 2" xfId="9189" xr:uid="{00000000-0005-0000-0000-0000D5230000}"/>
    <cellStyle name="t_NewOrl_cons_Q2 pipeline_Cópia de Modelo - Fluxo de Caixa Orcamento 09052009_V36_3" xfId="5958" xr:uid="{00000000-0005-0000-0000-0000D6230000}"/>
    <cellStyle name="t_NewOrl_cons_Q2 pipeline_Cópia de Modelo - Fluxo de Caixa Orcamento 09052009_V36_3 2" xfId="9190" xr:uid="{00000000-0005-0000-0000-0000D7230000}"/>
    <cellStyle name="t_NewOrl_cons_Q2 pipeline_Fluxo de Caixa Orcamento FINAL_13052009" xfId="5959" xr:uid="{00000000-0005-0000-0000-0000D8230000}"/>
    <cellStyle name="t_NewOrl_cons_Q2 pipeline_Fluxo de Caixa Orcamento FINAL_13052009 2" xfId="9191" xr:uid="{00000000-0005-0000-0000-0000D9230000}"/>
    <cellStyle name="t_NewOrl_cons_Q2 pipeline_FM_dummyV4" xfId="5960" xr:uid="{00000000-0005-0000-0000-0000DA230000}"/>
    <cellStyle name="t_NewOrl_cons_Q2 pipeline_lalur" xfId="5961" xr:uid="{00000000-0005-0000-0000-0000DB230000}"/>
    <cellStyle name="t_NewOrl_cons_Q2 pipeline_Leasing_V3" xfId="5962" xr:uid="{00000000-0005-0000-0000-0000DC230000}"/>
    <cellStyle name="t_NewOrl_cons_Q2 pipeline_MODELO PDP III" xfId="5963" xr:uid="{00000000-0005-0000-0000-0000DD230000}"/>
    <cellStyle name="t_NewOrl_cons_Q2 pipeline_ORÇ_2009" xfId="5964" xr:uid="{00000000-0005-0000-0000-0000DE230000}"/>
    <cellStyle name="t_NewOrl_cons_Q2 pipeline_ORÇ_2009 2" xfId="9192" xr:uid="{00000000-0005-0000-0000-0000DF230000}"/>
    <cellStyle name="t_NewOrl_cons_Q2 pipeline_Pasta2" xfId="5965" xr:uid="{00000000-0005-0000-0000-0000E0230000}"/>
    <cellStyle name="t_NewOrl_cons_Q2 pipeline_Pasta2 2" xfId="9193" xr:uid="{00000000-0005-0000-0000-0000E1230000}"/>
    <cellStyle name="t_ORÇ_2009" xfId="5966" xr:uid="{00000000-0005-0000-0000-0000E2230000}"/>
    <cellStyle name="t_Pasta2" xfId="5967" xr:uid="{00000000-0005-0000-0000-0000E3230000}"/>
    <cellStyle name="t_Q2 pipeline" xfId="5968" xr:uid="{00000000-0005-0000-0000-0000E4230000}"/>
    <cellStyle name="t_Q2 pipeline 2" xfId="9194" xr:uid="{00000000-0005-0000-0000-0000E5230000}"/>
    <cellStyle name="t_Q2 pipeline_Cópia de Modelo - Fluxo de Caixa Orcamento 09052009_V36_3" xfId="5969" xr:uid="{00000000-0005-0000-0000-0000E6230000}"/>
    <cellStyle name="t_Q2 pipeline_Cópia de Modelo - Fluxo de Caixa Orcamento 09052009_V36_3 2" xfId="9195" xr:uid="{00000000-0005-0000-0000-0000E7230000}"/>
    <cellStyle name="t_Q2 pipeline_Fluxo de Caixa Orcamento FINAL_13052009" xfId="5970" xr:uid="{00000000-0005-0000-0000-0000E8230000}"/>
    <cellStyle name="t_Q2 pipeline_Fluxo de Caixa Orcamento FINAL_13052009 2" xfId="9196" xr:uid="{00000000-0005-0000-0000-0000E9230000}"/>
    <cellStyle name="t_Q2 pipeline_FM_dummyV4" xfId="5971" xr:uid="{00000000-0005-0000-0000-0000EA230000}"/>
    <cellStyle name="t_Q2 pipeline_lalur" xfId="5972" xr:uid="{00000000-0005-0000-0000-0000EB230000}"/>
    <cellStyle name="t_Q2 pipeline_Leasing_V3" xfId="5973" xr:uid="{00000000-0005-0000-0000-0000EC230000}"/>
    <cellStyle name="t_Q2 pipeline_MODELO PDP III" xfId="5974" xr:uid="{00000000-0005-0000-0000-0000ED230000}"/>
    <cellStyle name="t_Q2 pipeline_ORÇ_2009" xfId="5975" xr:uid="{00000000-0005-0000-0000-0000EE230000}"/>
    <cellStyle name="t_Q2 pipeline_ORÇ_2009 2" xfId="9197" xr:uid="{00000000-0005-0000-0000-0000EF230000}"/>
    <cellStyle name="t_Q2 pipeline_Pasta2" xfId="5976" xr:uid="{00000000-0005-0000-0000-0000F0230000}"/>
    <cellStyle name="t_Q2 pipeline_Pasta2 2" xfId="9198" xr:uid="{00000000-0005-0000-0000-0000F1230000}"/>
    <cellStyle name="t_Valuation" xfId="5977" xr:uid="{00000000-0005-0000-0000-0000F2230000}"/>
    <cellStyle name="t_Valuation_Comparativo VP FIN v1_So 2008" xfId="9199" xr:uid="{00000000-0005-0000-0000-0000F3230000}"/>
    <cellStyle name="t_Valuation_Comparativo VP MKT 2008 v1_So 2008" xfId="9200" xr:uid="{00000000-0005-0000-0000-0000F4230000}"/>
    <cellStyle name="t_Valuation_Comparativo VP TEC 2008 v1_So 2008" xfId="9201" xr:uid="{00000000-0005-0000-0000-0000F5230000}"/>
    <cellStyle name="t_Valuation_Comparativo VP TEC 2008_Luiz Sergio" xfId="9202" xr:uid="{00000000-0005-0000-0000-0000F6230000}"/>
    <cellStyle name="t_Valuation_Cópia de Modelo - Fluxo de Caixa Orcamento 09052009_V36_3" xfId="5978" xr:uid="{00000000-0005-0000-0000-0000F7230000}"/>
    <cellStyle name="t_Valuation_Fluxo de Caixa Orcamento FINAL_13052009" xfId="5979" xr:uid="{00000000-0005-0000-0000-0000F8230000}"/>
    <cellStyle name="t_Valuation_FM_dummyV4" xfId="5980" xr:uid="{00000000-0005-0000-0000-0000F9230000}"/>
    <cellStyle name="t_Valuation_lalur" xfId="5981" xr:uid="{00000000-0005-0000-0000-0000FA230000}"/>
    <cellStyle name="t_Valuation_Leasing_V3" xfId="5982" xr:uid="{00000000-0005-0000-0000-0000FB230000}"/>
    <cellStyle name="t_Valuation_MODELO PDP III" xfId="5983" xr:uid="{00000000-0005-0000-0000-0000FC230000}"/>
    <cellStyle name="t_Valuation_ORÇ_2009" xfId="5984" xr:uid="{00000000-0005-0000-0000-0000FD230000}"/>
    <cellStyle name="t_Valuation_Pasta2" xfId="5985" xr:uid="{00000000-0005-0000-0000-0000FE230000}"/>
    <cellStyle name="t_Valuation_Q2 pipeline" xfId="5986" xr:uid="{00000000-0005-0000-0000-0000FF230000}"/>
    <cellStyle name="t_Valuation_Q2 pipeline 2" xfId="9203" xr:uid="{00000000-0005-0000-0000-000000240000}"/>
    <cellStyle name="t_Valuation_Q2 pipeline_Cópia de Modelo - Fluxo de Caixa Orcamento 09052009_V36_3" xfId="5987" xr:uid="{00000000-0005-0000-0000-000001240000}"/>
    <cellStyle name="t_Valuation_Q2 pipeline_Cópia de Modelo - Fluxo de Caixa Orcamento 09052009_V36_3 2" xfId="9204" xr:uid="{00000000-0005-0000-0000-000002240000}"/>
    <cellStyle name="t_Valuation_Q2 pipeline_Fluxo de Caixa Orcamento FINAL_13052009" xfId="5988" xr:uid="{00000000-0005-0000-0000-000003240000}"/>
    <cellStyle name="t_Valuation_Q2 pipeline_Fluxo de Caixa Orcamento FINAL_13052009 2" xfId="9205" xr:uid="{00000000-0005-0000-0000-000004240000}"/>
    <cellStyle name="t_Valuation_Q2 pipeline_FM_dummyV4" xfId="5989" xr:uid="{00000000-0005-0000-0000-000005240000}"/>
    <cellStyle name="t_Valuation_Q2 pipeline_lalur" xfId="5990" xr:uid="{00000000-0005-0000-0000-000006240000}"/>
    <cellStyle name="t_Valuation_Q2 pipeline_Leasing_V3" xfId="5991" xr:uid="{00000000-0005-0000-0000-000007240000}"/>
    <cellStyle name="t_Valuation_Q2 pipeline_MODELO PDP III" xfId="5992" xr:uid="{00000000-0005-0000-0000-000008240000}"/>
    <cellStyle name="t_Valuation_Q2 pipeline_ORÇ_2009" xfId="5993" xr:uid="{00000000-0005-0000-0000-000009240000}"/>
    <cellStyle name="t_Valuation_Q2 pipeline_ORÇ_2009 2" xfId="9206" xr:uid="{00000000-0005-0000-0000-00000A240000}"/>
    <cellStyle name="t_Valuation_Q2 pipeline_Pasta2" xfId="5994" xr:uid="{00000000-0005-0000-0000-00000B240000}"/>
    <cellStyle name="t_Valuation_Q2 pipeline_Pasta2 2" xfId="9207" xr:uid="{00000000-0005-0000-0000-00000C240000}"/>
    <cellStyle name="Table Head" xfId="5995" xr:uid="{00000000-0005-0000-0000-00000D240000}"/>
    <cellStyle name="Table Head Aligned" xfId="5996" xr:uid="{00000000-0005-0000-0000-00000E240000}"/>
    <cellStyle name="Table Head Blue" xfId="5997" xr:uid="{00000000-0005-0000-0000-00000F240000}"/>
    <cellStyle name="Table Head Green" xfId="5998" xr:uid="{00000000-0005-0000-0000-000010240000}"/>
    <cellStyle name="Table Head_IPQ Comps" xfId="5999" xr:uid="{00000000-0005-0000-0000-000011240000}"/>
    <cellStyle name="Table Heading" xfId="6000" xr:uid="{00000000-0005-0000-0000-000012240000}"/>
    <cellStyle name="Table Text" xfId="6001" xr:uid="{00000000-0005-0000-0000-000013240000}"/>
    <cellStyle name="Table Title" xfId="6002" xr:uid="{00000000-0005-0000-0000-000014240000}"/>
    <cellStyle name="Table Units" xfId="6003" xr:uid="{00000000-0005-0000-0000-000015240000}"/>
    <cellStyle name="Table_Header" xfId="6004" xr:uid="{00000000-0005-0000-0000-000016240000}"/>
    <cellStyle name="TableBody" xfId="6005" xr:uid="{00000000-0005-0000-0000-000017240000}"/>
    <cellStyle name="TableBodyR" xfId="6006" xr:uid="{00000000-0005-0000-0000-000018240000}"/>
    <cellStyle name="TableColHeads" xfId="6007" xr:uid="{00000000-0005-0000-0000-000019240000}"/>
    <cellStyle name="taples Plaza" xfId="6008" xr:uid="{00000000-0005-0000-0000-00001A240000}"/>
    <cellStyle name="taples Plaza 2" xfId="6009" xr:uid="{00000000-0005-0000-0000-00001B240000}"/>
    <cellStyle name="tc" xfId="6010" xr:uid="{00000000-0005-0000-0000-00001C240000}"/>
    <cellStyle name="tc 2" xfId="9208" xr:uid="{00000000-0005-0000-0000-00001D240000}"/>
    <cellStyle name="Text" xfId="6011" xr:uid="{00000000-0005-0000-0000-00001E240000}"/>
    <cellStyle name="Text 1" xfId="6012" xr:uid="{00000000-0005-0000-0000-00001F240000}"/>
    <cellStyle name="Text Head 1" xfId="6013" xr:uid="{00000000-0005-0000-0000-000020240000}"/>
    <cellStyle name="Text Indent A" xfId="6014" xr:uid="{00000000-0005-0000-0000-000021240000}"/>
    <cellStyle name="Text Indent B" xfId="6015" xr:uid="{00000000-0005-0000-0000-000022240000}"/>
    <cellStyle name="Text Indent B 2" xfId="9209" xr:uid="{00000000-0005-0000-0000-000023240000}"/>
    <cellStyle name="Text Indent C" xfId="6016" xr:uid="{00000000-0005-0000-0000-000024240000}"/>
    <cellStyle name="Text Indent C 2" xfId="9210" xr:uid="{00000000-0005-0000-0000-000025240000}"/>
    <cellStyle name="textbold" xfId="6017" xr:uid="{00000000-0005-0000-0000-000026240000}"/>
    <cellStyle name="Texto de Aviso 2" xfId="45" xr:uid="{00000000-0005-0000-0000-000027240000}"/>
    <cellStyle name="Texto de Aviso 3" xfId="6238" xr:uid="{00000000-0005-0000-0000-000028240000}"/>
    <cellStyle name="Texto de Aviso 4" xfId="9211" xr:uid="{00000000-0005-0000-0000-000029240000}"/>
    <cellStyle name="Texto de Aviso 5" xfId="6254" xr:uid="{00000000-0005-0000-0000-00002A240000}"/>
    <cellStyle name="Texto Explicativo 2" xfId="46" xr:uid="{00000000-0005-0000-0000-00002B240000}"/>
    <cellStyle name="Texto Explicativo 3" xfId="9212" xr:uid="{00000000-0005-0000-0000-00002C240000}"/>
    <cellStyle name="Texto Explicativo 4" xfId="9213" xr:uid="{00000000-0005-0000-0000-00002D240000}"/>
    <cellStyle name="Texto Explicativo 5" xfId="6256" xr:uid="{00000000-0005-0000-0000-00002E240000}"/>
    <cellStyle name="TFCF" xfId="6019" xr:uid="{00000000-0005-0000-0000-00002F240000}"/>
    <cellStyle name="TFCF 2" xfId="6020" xr:uid="{00000000-0005-0000-0000-000030240000}"/>
    <cellStyle name="Tickmark" xfId="6021" xr:uid="{00000000-0005-0000-0000-000031240000}"/>
    <cellStyle name="time" xfId="6022" xr:uid="{00000000-0005-0000-0000-000032240000}"/>
    <cellStyle name="Title" xfId="6023" xr:uid="{00000000-0005-0000-0000-000033240000}"/>
    <cellStyle name="Title 1" xfId="6024" xr:uid="{00000000-0005-0000-0000-000034240000}"/>
    <cellStyle name="Title 2" xfId="6025" xr:uid="{00000000-0005-0000-0000-000035240000}"/>
    <cellStyle name="Title 3" xfId="6026" xr:uid="{00000000-0005-0000-0000-000036240000}"/>
    <cellStyle name="Title 4" xfId="6027" xr:uid="{00000000-0005-0000-0000-000037240000}"/>
    <cellStyle name="title2" xfId="6028" xr:uid="{00000000-0005-0000-0000-000038240000}"/>
    <cellStyle name="Titles" xfId="6029" xr:uid="{00000000-0005-0000-0000-000039240000}"/>
    <cellStyle name="Tittle" xfId="6030" xr:uid="{00000000-0005-0000-0000-00003A240000}"/>
    <cellStyle name="Tittle 2" xfId="9214" xr:uid="{00000000-0005-0000-0000-00003B240000}"/>
    <cellStyle name="Titulo" xfId="6031" xr:uid="{00000000-0005-0000-0000-00003C240000}"/>
    <cellStyle name="Título" xfId="56" builtinId="15" customBuiltin="1"/>
    <cellStyle name="Título 1 2" xfId="47" xr:uid="{00000000-0005-0000-0000-00003E240000}"/>
    <cellStyle name="Título 1 3" xfId="9215" xr:uid="{00000000-0005-0000-0000-00003F240000}"/>
    <cellStyle name="Título 1 4" xfId="9216" xr:uid="{00000000-0005-0000-0000-000040240000}"/>
    <cellStyle name="Título 1 5" xfId="6242" xr:uid="{00000000-0005-0000-0000-000041240000}"/>
    <cellStyle name="Titulo 10" xfId="9217" xr:uid="{00000000-0005-0000-0000-000042240000}"/>
    <cellStyle name="Título 10" xfId="9218" xr:uid="{00000000-0005-0000-0000-000043240000}"/>
    <cellStyle name="Titulo 11" xfId="9219" xr:uid="{00000000-0005-0000-0000-000044240000}"/>
    <cellStyle name="Titulo 12" xfId="9220" xr:uid="{00000000-0005-0000-0000-000045240000}"/>
    <cellStyle name="Titulo 13" xfId="9221" xr:uid="{00000000-0005-0000-0000-000046240000}"/>
    <cellStyle name="Titulo 14" xfId="9222" xr:uid="{00000000-0005-0000-0000-000047240000}"/>
    <cellStyle name="Titulo 15" xfId="9223" xr:uid="{00000000-0005-0000-0000-000048240000}"/>
    <cellStyle name="Titulo 16" xfId="9224" xr:uid="{00000000-0005-0000-0000-000049240000}"/>
    <cellStyle name="Titulo 17" xfId="9225" xr:uid="{00000000-0005-0000-0000-00004A240000}"/>
    <cellStyle name="Titulo 18" xfId="9226" xr:uid="{00000000-0005-0000-0000-00004B240000}"/>
    <cellStyle name="Titulo 19" xfId="9227" xr:uid="{00000000-0005-0000-0000-00004C240000}"/>
    <cellStyle name="Titulo 2" xfId="9228" xr:uid="{00000000-0005-0000-0000-00004D240000}"/>
    <cellStyle name="Título 2 2" xfId="48" xr:uid="{00000000-0005-0000-0000-00004E240000}"/>
    <cellStyle name="Título 2 3" xfId="9229" xr:uid="{00000000-0005-0000-0000-00004F240000}"/>
    <cellStyle name="Título 2 4" xfId="9230" xr:uid="{00000000-0005-0000-0000-000050240000}"/>
    <cellStyle name="Título 2 5" xfId="6243" xr:uid="{00000000-0005-0000-0000-000051240000}"/>
    <cellStyle name="Titulo 20" xfId="9231" xr:uid="{00000000-0005-0000-0000-000052240000}"/>
    <cellStyle name="Titulo 21" xfId="9232" xr:uid="{00000000-0005-0000-0000-000053240000}"/>
    <cellStyle name="Titulo 22" xfId="9233" xr:uid="{00000000-0005-0000-0000-000054240000}"/>
    <cellStyle name="Titulo 23" xfId="9234" xr:uid="{00000000-0005-0000-0000-000055240000}"/>
    <cellStyle name="Titulo 24" xfId="9235" xr:uid="{00000000-0005-0000-0000-000056240000}"/>
    <cellStyle name="Titulo 25" xfId="9236" xr:uid="{00000000-0005-0000-0000-000057240000}"/>
    <cellStyle name="Titulo 26" xfId="9237" xr:uid="{00000000-0005-0000-0000-000058240000}"/>
    <cellStyle name="Titulo 27" xfId="9238" xr:uid="{00000000-0005-0000-0000-000059240000}"/>
    <cellStyle name="Titulo 28" xfId="9239" xr:uid="{00000000-0005-0000-0000-00005A240000}"/>
    <cellStyle name="Titulo 3" xfId="9240" xr:uid="{00000000-0005-0000-0000-00005B240000}"/>
    <cellStyle name="Título 3 2" xfId="49" xr:uid="{00000000-0005-0000-0000-00005C240000}"/>
    <cellStyle name="Título 3 3" xfId="9241" xr:uid="{00000000-0005-0000-0000-00005D240000}"/>
    <cellStyle name="Título 3 4" xfId="9242" xr:uid="{00000000-0005-0000-0000-00005E240000}"/>
    <cellStyle name="Título 3 5" xfId="6244" xr:uid="{00000000-0005-0000-0000-00005F240000}"/>
    <cellStyle name="Titulo 4" xfId="9243" xr:uid="{00000000-0005-0000-0000-000060240000}"/>
    <cellStyle name="Título 4 2" xfId="50" xr:uid="{00000000-0005-0000-0000-000061240000}"/>
    <cellStyle name="Título 4 3" xfId="9244" xr:uid="{00000000-0005-0000-0000-000062240000}"/>
    <cellStyle name="Título 4 4" xfId="9245" xr:uid="{00000000-0005-0000-0000-000063240000}"/>
    <cellStyle name="Título 4 5" xfId="6245" xr:uid="{00000000-0005-0000-0000-000064240000}"/>
    <cellStyle name="Titulo 5" xfId="9246" xr:uid="{00000000-0005-0000-0000-000065240000}"/>
    <cellStyle name="Título 5" xfId="51" xr:uid="{00000000-0005-0000-0000-000066240000}"/>
    <cellStyle name="Titulo 6" xfId="9247" xr:uid="{00000000-0005-0000-0000-000067240000}"/>
    <cellStyle name="Título 6" xfId="9248" xr:uid="{00000000-0005-0000-0000-000068240000}"/>
    <cellStyle name="Titulo 7" xfId="9249" xr:uid="{00000000-0005-0000-0000-000069240000}"/>
    <cellStyle name="Título 7" xfId="9250" xr:uid="{00000000-0005-0000-0000-00006A240000}"/>
    <cellStyle name="Titulo 8" xfId="9251" xr:uid="{00000000-0005-0000-0000-00006B240000}"/>
    <cellStyle name="Título 8" xfId="9252" xr:uid="{00000000-0005-0000-0000-00006C240000}"/>
    <cellStyle name="Titulo 9" xfId="9253" xr:uid="{00000000-0005-0000-0000-00006D240000}"/>
    <cellStyle name="Título 9" xfId="9254" xr:uid="{00000000-0005-0000-0000-00006E240000}"/>
    <cellStyle name="Titulo de conta" xfId="6032" xr:uid="{00000000-0005-0000-0000-00006F240000}"/>
    <cellStyle name="Titulo_Base Apresentação" xfId="9255" xr:uid="{00000000-0005-0000-0000-000070240000}"/>
    <cellStyle name="Título1" xfId="6033" xr:uid="{00000000-0005-0000-0000-000071240000}"/>
    <cellStyle name="Título2" xfId="6034" xr:uid="{00000000-0005-0000-0000-000072240000}"/>
    <cellStyle name="TituloJoia" xfId="6035" xr:uid="{00000000-0005-0000-0000-000073240000}"/>
    <cellStyle name="titulomov" xfId="6036" xr:uid="{00000000-0005-0000-0000-000074240000}"/>
    <cellStyle name="Titulos" xfId="6037" xr:uid="{00000000-0005-0000-0000-000075240000}"/>
    <cellStyle name="Titulos1" xfId="6038" xr:uid="{00000000-0005-0000-0000-000076240000}"/>
    <cellStyle name="TitulosP" xfId="6039" xr:uid="{00000000-0005-0000-0000-000077240000}"/>
    <cellStyle name="Todos" xfId="6040" xr:uid="{00000000-0005-0000-0000-000078240000}"/>
    <cellStyle name="Top_Double_Bottom" xfId="6041" xr:uid="{00000000-0005-0000-0000-000079240000}"/>
    <cellStyle name="TopGrey" xfId="6042" xr:uid="{00000000-0005-0000-0000-00007A240000}"/>
    <cellStyle name="TopGrey 2" xfId="6043" xr:uid="{00000000-0005-0000-0000-00007B240000}"/>
    <cellStyle name="Totais LP" xfId="6044" xr:uid="{00000000-0005-0000-0000-00007C240000}"/>
    <cellStyle name="Total 2" xfId="52" xr:uid="{00000000-0005-0000-0000-00007D240000}"/>
    <cellStyle name="Total 2 2" xfId="6239" xr:uid="{00000000-0005-0000-0000-00007E240000}"/>
    <cellStyle name="Total 2 2 2" xfId="9256" xr:uid="{00000000-0005-0000-0000-00007F240000}"/>
    <cellStyle name="Total 2 3" xfId="9257" xr:uid="{00000000-0005-0000-0000-000080240000}"/>
    <cellStyle name="Total 2 4" xfId="6045" xr:uid="{00000000-0005-0000-0000-000081240000}"/>
    <cellStyle name="Total 3" xfId="6240" xr:uid="{00000000-0005-0000-0000-000082240000}"/>
    <cellStyle name="Total 3 2" xfId="9258" xr:uid="{00000000-0005-0000-0000-000083240000}"/>
    <cellStyle name="Total 4" xfId="9259" xr:uid="{00000000-0005-0000-0000-000084240000}"/>
    <cellStyle name="Total 4 2" xfId="9260" xr:uid="{00000000-0005-0000-0000-000085240000}"/>
    <cellStyle name="Total 5" xfId="6257" xr:uid="{00000000-0005-0000-0000-000086240000}"/>
    <cellStyle name="Total1" xfId="6046" xr:uid="{00000000-0005-0000-0000-000087240000}"/>
    <cellStyle name="totalbalan" xfId="6047" xr:uid="{00000000-0005-0000-0000-000088240000}"/>
    <cellStyle name="ts0" xfId="6048" xr:uid="{00000000-0005-0000-0000-000089240000}"/>
    <cellStyle name="ts1" xfId="6049" xr:uid="{00000000-0005-0000-0000-00008A240000}"/>
    <cellStyle name="ts2" xfId="6050" xr:uid="{00000000-0005-0000-0000-00008B240000}"/>
    <cellStyle name="Tusental (0)_Mediaplan example2" xfId="9261" xr:uid="{00000000-0005-0000-0000-00008C240000}"/>
    <cellStyle name="u" xfId="6051" xr:uid="{00000000-0005-0000-0000-00008D240000}"/>
    <cellStyle name="u_Comparativo VP FIN v1_So 2008" xfId="9262" xr:uid="{00000000-0005-0000-0000-00008E240000}"/>
    <cellStyle name="u_Comparativo VP MKT 2008 v1_So 2008" xfId="9263" xr:uid="{00000000-0005-0000-0000-00008F240000}"/>
    <cellStyle name="u_Comparativo VP TEC 2008 v1_So 2008" xfId="9264" xr:uid="{00000000-0005-0000-0000-000090240000}"/>
    <cellStyle name="u_Comparativo VP TEC 2008_Luiz Sergio" xfId="9265" xr:uid="{00000000-0005-0000-0000-000091240000}"/>
    <cellStyle name="u_Cópia de Modelo - Fluxo de Caixa Orcamento 09052009_V36_3" xfId="6052" xr:uid="{00000000-0005-0000-0000-000092240000}"/>
    <cellStyle name="u_Fluxo de Caixa Orcamento FINAL_13052009" xfId="6053" xr:uid="{00000000-0005-0000-0000-000093240000}"/>
    <cellStyle name="u_FM_dummyV4" xfId="6054" xr:uid="{00000000-0005-0000-0000-000094240000}"/>
    <cellStyle name="u_lalur" xfId="6055" xr:uid="{00000000-0005-0000-0000-000095240000}"/>
    <cellStyle name="u_Leasing_V3" xfId="6056" xr:uid="{00000000-0005-0000-0000-000096240000}"/>
    <cellStyle name="u_MODELO PDP III" xfId="6057" xr:uid="{00000000-0005-0000-0000-000097240000}"/>
    <cellStyle name="u_ORÇ_2009" xfId="6058" xr:uid="{00000000-0005-0000-0000-000098240000}"/>
    <cellStyle name="u_Pasta2" xfId="6059" xr:uid="{00000000-0005-0000-0000-000099240000}"/>
    <cellStyle name="u_Q2 pipeline" xfId="6060" xr:uid="{00000000-0005-0000-0000-00009A240000}"/>
    <cellStyle name="u_Q2 pipeline 2" xfId="9266" xr:uid="{00000000-0005-0000-0000-00009B240000}"/>
    <cellStyle name="u_Q2 pipeline_Cópia de Modelo - Fluxo de Caixa Orcamento 09052009_V36_3" xfId="6061" xr:uid="{00000000-0005-0000-0000-00009C240000}"/>
    <cellStyle name="u_Q2 pipeline_Cópia de Modelo - Fluxo de Caixa Orcamento 09052009_V36_3 2" xfId="9267" xr:uid="{00000000-0005-0000-0000-00009D240000}"/>
    <cellStyle name="u_Q2 pipeline_Fluxo de Caixa Orcamento FINAL_13052009" xfId="6062" xr:uid="{00000000-0005-0000-0000-00009E240000}"/>
    <cellStyle name="u_Q2 pipeline_Fluxo de Caixa Orcamento FINAL_13052009 2" xfId="9268" xr:uid="{00000000-0005-0000-0000-00009F240000}"/>
    <cellStyle name="u_Q2 pipeline_FM_dummyV4" xfId="6063" xr:uid="{00000000-0005-0000-0000-0000A0240000}"/>
    <cellStyle name="u_Q2 pipeline_lalur" xfId="6064" xr:uid="{00000000-0005-0000-0000-0000A1240000}"/>
    <cellStyle name="u_Q2 pipeline_Leasing_V3" xfId="6065" xr:uid="{00000000-0005-0000-0000-0000A2240000}"/>
    <cellStyle name="u_Q2 pipeline_MODELO PDP III" xfId="6066" xr:uid="{00000000-0005-0000-0000-0000A3240000}"/>
    <cellStyle name="u_Q2 pipeline_ORÇ_2009" xfId="6067" xr:uid="{00000000-0005-0000-0000-0000A4240000}"/>
    <cellStyle name="u_Q2 pipeline_ORÇ_2009 2" xfId="9269" xr:uid="{00000000-0005-0000-0000-0000A5240000}"/>
    <cellStyle name="u_Q2 pipeline_Pasta2" xfId="6068" xr:uid="{00000000-0005-0000-0000-0000A6240000}"/>
    <cellStyle name="u_Q2 pipeline_Pasta2 2" xfId="9270" xr:uid="{00000000-0005-0000-0000-0000A7240000}"/>
    <cellStyle name="ubordinated Debt" xfId="6069" xr:uid="{00000000-0005-0000-0000-0000A8240000}"/>
    <cellStyle name="Undefined" xfId="6070" xr:uid="{00000000-0005-0000-0000-0000A9240000}"/>
    <cellStyle name="Undefined 2" xfId="9271" xr:uid="{00000000-0005-0000-0000-0000AA240000}"/>
    <cellStyle name="Underline" xfId="6071" xr:uid="{00000000-0005-0000-0000-0000AB240000}"/>
    <cellStyle name="Underline 2" xfId="6072" xr:uid="{00000000-0005-0000-0000-0000AC240000}"/>
    <cellStyle name="Underline_Single" xfId="6073" xr:uid="{00000000-0005-0000-0000-0000AD240000}"/>
    <cellStyle name="Undertittle" xfId="6074" xr:uid="{00000000-0005-0000-0000-0000AE240000}"/>
    <cellStyle name="Unprotect" xfId="6075" xr:uid="{00000000-0005-0000-0000-0000AF240000}"/>
    <cellStyle name="Upload Only" xfId="6076" xr:uid="{00000000-0005-0000-0000-0000B0240000}"/>
    <cellStyle name="US$#,##0" xfId="6077" xr:uid="{00000000-0005-0000-0000-0000B1240000}"/>
    <cellStyle name="US$#,##0.00" xfId="6078" xr:uid="{00000000-0005-0000-0000-0000B2240000}"/>
    <cellStyle name="User_Defined_A" xfId="9272" xr:uid="{00000000-0005-0000-0000-0000B3240000}"/>
    <cellStyle name="V¡rgula" xfId="9273" xr:uid="{00000000-0005-0000-0000-0000B4240000}"/>
    <cellStyle name="Valores[2]" xfId="6079" xr:uid="{00000000-0005-0000-0000-0000B5240000}"/>
    <cellStyle name="Valores[2] 2" xfId="9274" xr:uid="{00000000-0005-0000-0000-0000B6240000}"/>
    <cellStyle name="Valores[4]" xfId="6080" xr:uid="{00000000-0005-0000-0000-0000B7240000}"/>
    <cellStyle name="Valores[4] 2" xfId="9275" xr:uid="{00000000-0005-0000-0000-0000B8240000}"/>
    <cellStyle name="ValoresSaldo[2]" xfId="6081" xr:uid="{00000000-0005-0000-0000-0000B9240000}"/>
    <cellStyle name="ValoresSaldo[2] 2" xfId="9276" xr:uid="{00000000-0005-0000-0000-0000BA240000}"/>
    <cellStyle name="Valuta [0]_laroux" xfId="9277" xr:uid="{00000000-0005-0000-0000-0000BB240000}"/>
    <cellStyle name="Valuta_laroux" xfId="9278" xr:uid="{00000000-0005-0000-0000-0000BC240000}"/>
    <cellStyle name="Vírgula" xfId="1" builtinId="3"/>
    <cellStyle name="Vírgula 10" xfId="6082" xr:uid="{00000000-0005-0000-0000-0000BE240000}"/>
    <cellStyle name="Vírgula 10 2" xfId="6083" xr:uid="{00000000-0005-0000-0000-0000BF240000}"/>
    <cellStyle name="Vírgula 10 2 2" xfId="9668" xr:uid="{00000000-0005-0000-0000-0000C0240000}"/>
    <cellStyle name="Vírgula 10 3" xfId="9391" xr:uid="{00000000-0005-0000-0000-0000C1240000}"/>
    <cellStyle name="Vírgula 10 4" xfId="9669" xr:uid="{00000000-0005-0000-0000-0000C2240000}"/>
    <cellStyle name="Vírgula 11" xfId="6084" xr:uid="{00000000-0005-0000-0000-0000C3240000}"/>
    <cellStyle name="Vírgula 12" xfId="6085" xr:uid="{00000000-0005-0000-0000-0000C4240000}"/>
    <cellStyle name="Vírgula 13" xfId="6086" xr:uid="{00000000-0005-0000-0000-0000C5240000}"/>
    <cellStyle name="Vírgula 13 3" xfId="9392" xr:uid="{00000000-0005-0000-0000-0000C6240000}"/>
    <cellStyle name="Vírgula 13 3 2" xfId="9670" xr:uid="{00000000-0005-0000-0000-0000C7240000}"/>
    <cellStyle name="Vírgula 14" xfId="6241" xr:uid="{00000000-0005-0000-0000-0000C8240000}"/>
    <cellStyle name="Vírgula 14 2" xfId="9671" xr:uid="{00000000-0005-0000-0000-0000C9240000}"/>
    <cellStyle name="Vírgula 15" xfId="6087" xr:uid="{00000000-0005-0000-0000-0000CA240000}"/>
    <cellStyle name="Vírgula 16" xfId="6282" xr:uid="{00000000-0005-0000-0000-0000CB240000}"/>
    <cellStyle name="Vírgula 16 2" xfId="9672" xr:uid="{00000000-0005-0000-0000-0000CC240000}"/>
    <cellStyle name="Vírgula 17" xfId="6228" xr:uid="{00000000-0005-0000-0000-0000CD240000}"/>
    <cellStyle name="Vírgula 17 2" xfId="9673" xr:uid="{00000000-0005-0000-0000-0000CE240000}"/>
    <cellStyle name="Vírgula 2" xfId="54" xr:uid="{00000000-0005-0000-0000-0000CF240000}"/>
    <cellStyle name="Vírgula 2 10" xfId="67" xr:uid="{00000000-0005-0000-0000-0000D0240000}"/>
    <cellStyle name="Vírgula 2 2" xfId="6088" xr:uid="{00000000-0005-0000-0000-0000D1240000}"/>
    <cellStyle name="Vírgula 2 2 2" xfId="6089" xr:uid="{00000000-0005-0000-0000-0000D2240000}"/>
    <cellStyle name="Vírgula 2 2 2 2" xfId="6090" xr:uid="{00000000-0005-0000-0000-0000D3240000}"/>
    <cellStyle name="Vírgula 2 2 2 2 2" xfId="6091" xr:uid="{00000000-0005-0000-0000-0000D4240000}"/>
    <cellStyle name="Vírgula 2 2 2 2 2 2" xfId="9674" xr:uid="{00000000-0005-0000-0000-0000D5240000}"/>
    <cellStyle name="Vírgula 2 2 2 2 3" xfId="9675" xr:uid="{00000000-0005-0000-0000-0000D6240000}"/>
    <cellStyle name="Vírgula 2 2 2 3" xfId="6092" xr:uid="{00000000-0005-0000-0000-0000D7240000}"/>
    <cellStyle name="Vírgula 2 2 2 3 2" xfId="9676" xr:uid="{00000000-0005-0000-0000-0000D8240000}"/>
    <cellStyle name="Vírgula 2 2 2 4" xfId="9677" xr:uid="{00000000-0005-0000-0000-0000D9240000}"/>
    <cellStyle name="Vírgula 2 2 3" xfId="6093" xr:uid="{00000000-0005-0000-0000-0000DA240000}"/>
    <cellStyle name="Vírgula 2 2 3 2" xfId="6094" xr:uid="{00000000-0005-0000-0000-0000DB240000}"/>
    <cellStyle name="Vírgula 2 2 3 2 2" xfId="9678" xr:uid="{00000000-0005-0000-0000-0000DC240000}"/>
    <cellStyle name="Vírgula 2 2 3 3" xfId="9679" xr:uid="{00000000-0005-0000-0000-0000DD240000}"/>
    <cellStyle name="Vírgula 2 3" xfId="6095" xr:uid="{00000000-0005-0000-0000-0000DE240000}"/>
    <cellStyle name="Vírgula 2 4" xfId="6096" xr:uid="{00000000-0005-0000-0000-0000DF240000}"/>
    <cellStyle name="Vírgula 2 4 2" xfId="6097" xr:uid="{00000000-0005-0000-0000-0000E0240000}"/>
    <cellStyle name="Vírgula 2 4 2 2" xfId="6098" xr:uid="{00000000-0005-0000-0000-0000E1240000}"/>
    <cellStyle name="Vírgula 2 4 2 2 2" xfId="9680" xr:uid="{00000000-0005-0000-0000-0000E2240000}"/>
    <cellStyle name="Vírgula 2 4 2 3" xfId="9681" xr:uid="{00000000-0005-0000-0000-0000E3240000}"/>
    <cellStyle name="Vírgula 2 4 3" xfId="6099" xr:uid="{00000000-0005-0000-0000-0000E4240000}"/>
    <cellStyle name="Vírgula 2 4 3 2" xfId="9682" xr:uid="{00000000-0005-0000-0000-0000E5240000}"/>
    <cellStyle name="Vírgula 2 4 4" xfId="9683" xr:uid="{00000000-0005-0000-0000-0000E6240000}"/>
    <cellStyle name="Vírgula 2 5" xfId="6100" xr:uid="{00000000-0005-0000-0000-0000E7240000}"/>
    <cellStyle name="Vírgula 2 5 2" xfId="6101" xr:uid="{00000000-0005-0000-0000-0000E8240000}"/>
    <cellStyle name="Vírgula 2 5 2 2" xfId="9684" xr:uid="{00000000-0005-0000-0000-0000E9240000}"/>
    <cellStyle name="Vírgula 2 5 3" xfId="9685" xr:uid="{00000000-0005-0000-0000-0000EA240000}"/>
    <cellStyle name="Vírgula 2 6" xfId="6102" xr:uid="{00000000-0005-0000-0000-0000EB240000}"/>
    <cellStyle name="Vírgula 2 6 2" xfId="6103" xr:uid="{00000000-0005-0000-0000-0000EC240000}"/>
    <cellStyle name="Vírgula 2 6 2 2" xfId="9686" xr:uid="{00000000-0005-0000-0000-0000ED240000}"/>
    <cellStyle name="Vírgula 2 6 3" xfId="9687" xr:uid="{00000000-0005-0000-0000-0000EE240000}"/>
    <cellStyle name="Vírgula 2 7" xfId="6104" xr:uid="{00000000-0005-0000-0000-0000EF240000}"/>
    <cellStyle name="Vírgula 2 7 2" xfId="9688" xr:uid="{00000000-0005-0000-0000-0000F0240000}"/>
    <cellStyle name="Vírgula 2 8" xfId="9279" xr:uid="{00000000-0005-0000-0000-0000F1240000}"/>
    <cellStyle name="Vírgula 2 9" xfId="71" xr:uid="{00000000-0005-0000-0000-0000F2240000}"/>
    <cellStyle name="Vírgula 3" xfId="55" xr:uid="{00000000-0005-0000-0000-0000F3240000}"/>
    <cellStyle name="Vírgula 3 2" xfId="6106" xr:uid="{00000000-0005-0000-0000-0000F4240000}"/>
    <cellStyle name="Vírgula 3 2 2" xfId="6107" xr:uid="{00000000-0005-0000-0000-0000F5240000}"/>
    <cellStyle name="Vírgula 3 3" xfId="6108" xr:uid="{00000000-0005-0000-0000-0000F6240000}"/>
    <cellStyle name="Vírgula 3 3 2" xfId="6109" xr:uid="{00000000-0005-0000-0000-0000F7240000}"/>
    <cellStyle name="Vírgula 3 3 2 2" xfId="9689" xr:uid="{00000000-0005-0000-0000-0000F8240000}"/>
    <cellStyle name="Vírgula 3 3 3" xfId="9690" xr:uid="{00000000-0005-0000-0000-0000F9240000}"/>
    <cellStyle name="Vírgula 3 4" xfId="6105" xr:uid="{00000000-0005-0000-0000-0000FA240000}"/>
    <cellStyle name="Vírgula 3 4 2" xfId="9691" xr:uid="{00000000-0005-0000-0000-0000FB240000}"/>
    <cellStyle name="Vírgula 3 5" xfId="68" xr:uid="{00000000-0005-0000-0000-0000FC240000}"/>
    <cellStyle name="Vírgula 4" xfId="53" xr:uid="{00000000-0005-0000-0000-0000FD240000}"/>
    <cellStyle name="Vírgula 4 2" xfId="6111" xr:uid="{00000000-0005-0000-0000-0000FE240000}"/>
    <cellStyle name="Vírgula 4 3" xfId="6112" xr:uid="{00000000-0005-0000-0000-0000FF240000}"/>
    <cellStyle name="Vírgula 4 3 2" xfId="6113" xr:uid="{00000000-0005-0000-0000-000000250000}"/>
    <cellStyle name="Vírgula 4 3 2 2" xfId="6114" xr:uid="{00000000-0005-0000-0000-000001250000}"/>
    <cellStyle name="Vírgula 4 3 2 2 2" xfId="9692" xr:uid="{00000000-0005-0000-0000-000002250000}"/>
    <cellStyle name="Vírgula 4 3 2 3" xfId="9693" xr:uid="{00000000-0005-0000-0000-000003250000}"/>
    <cellStyle name="Vírgula 4 3 3" xfId="6115" xr:uid="{00000000-0005-0000-0000-000004250000}"/>
    <cellStyle name="Vírgula 4 3 3 2" xfId="9694" xr:uid="{00000000-0005-0000-0000-000005250000}"/>
    <cellStyle name="Vírgula 4 3 4" xfId="9695" xr:uid="{00000000-0005-0000-0000-000006250000}"/>
    <cellStyle name="Vírgula 4 4" xfId="6116" xr:uid="{00000000-0005-0000-0000-000007250000}"/>
    <cellStyle name="Vírgula 4 4 2" xfId="6117" xr:uid="{00000000-0005-0000-0000-000008250000}"/>
    <cellStyle name="Vírgula 4 4 2 2" xfId="6118" xr:uid="{00000000-0005-0000-0000-000009250000}"/>
    <cellStyle name="Vírgula 4 4 2 2 2" xfId="9696" xr:uid="{00000000-0005-0000-0000-00000A250000}"/>
    <cellStyle name="Vírgula 4 4 2 3" xfId="9697" xr:uid="{00000000-0005-0000-0000-00000B250000}"/>
    <cellStyle name="Vírgula 4 4 3" xfId="6119" xr:uid="{00000000-0005-0000-0000-00000C250000}"/>
    <cellStyle name="Vírgula 4 4 3 2" xfId="9698" xr:uid="{00000000-0005-0000-0000-00000D250000}"/>
    <cellStyle name="Vírgula 4 4 4" xfId="9699" xr:uid="{00000000-0005-0000-0000-00000E250000}"/>
    <cellStyle name="Vírgula 4 5" xfId="6120" xr:uid="{00000000-0005-0000-0000-00000F250000}"/>
    <cellStyle name="Vírgula 4 5 2" xfId="6121" xr:uid="{00000000-0005-0000-0000-000010250000}"/>
    <cellStyle name="Vírgula 4 5 2 2" xfId="9700" xr:uid="{00000000-0005-0000-0000-000011250000}"/>
    <cellStyle name="Vírgula 4 5 3" xfId="9701" xr:uid="{00000000-0005-0000-0000-000012250000}"/>
    <cellStyle name="Vírgula 4 6" xfId="6122" xr:uid="{00000000-0005-0000-0000-000013250000}"/>
    <cellStyle name="Vírgula 4 6 2" xfId="6123" xr:uid="{00000000-0005-0000-0000-000014250000}"/>
    <cellStyle name="Vírgula 4 6 2 2" xfId="9702" xr:uid="{00000000-0005-0000-0000-000015250000}"/>
    <cellStyle name="Vírgula 4 6 3" xfId="9703" xr:uid="{00000000-0005-0000-0000-000016250000}"/>
    <cellStyle name="Vírgula 4 7" xfId="6124" xr:uid="{00000000-0005-0000-0000-000017250000}"/>
    <cellStyle name="Vírgula 4 7 2" xfId="9704" xr:uid="{00000000-0005-0000-0000-000018250000}"/>
    <cellStyle name="Vírgula 4 8" xfId="6110" xr:uid="{00000000-0005-0000-0000-000019250000}"/>
    <cellStyle name="Vírgula 4 8 2" xfId="9705" xr:uid="{00000000-0005-0000-0000-00001A250000}"/>
    <cellStyle name="Vírgula 5" xfId="59" xr:uid="{00000000-0005-0000-0000-00001B250000}"/>
    <cellStyle name="Vírgula 5 2" xfId="6126" xr:uid="{00000000-0005-0000-0000-00001C250000}"/>
    <cellStyle name="Vírgula 5 2 2" xfId="6127" xr:uid="{00000000-0005-0000-0000-00001D250000}"/>
    <cellStyle name="Vírgula 5 2 2 2" xfId="9706" xr:uid="{00000000-0005-0000-0000-00001E250000}"/>
    <cellStyle name="Vírgula 5 2 3" xfId="9707" xr:uid="{00000000-0005-0000-0000-00001F250000}"/>
    <cellStyle name="Vírgula 5 3" xfId="6128" xr:uid="{00000000-0005-0000-0000-000020250000}"/>
    <cellStyle name="Vírgula 5 3 2" xfId="6129" xr:uid="{00000000-0005-0000-0000-000021250000}"/>
    <cellStyle name="Vírgula 5 3 2 2" xfId="9708" xr:uid="{00000000-0005-0000-0000-000022250000}"/>
    <cellStyle name="Vírgula 5 3 3" xfId="9709" xr:uid="{00000000-0005-0000-0000-000023250000}"/>
    <cellStyle name="Vírgula 5 4" xfId="6130" xr:uid="{00000000-0005-0000-0000-000024250000}"/>
    <cellStyle name="Vírgula 5 4 2" xfId="9710" xr:uid="{00000000-0005-0000-0000-000025250000}"/>
    <cellStyle name="Vírgula 5 5" xfId="6125" xr:uid="{00000000-0005-0000-0000-000026250000}"/>
    <cellStyle name="Vírgula 5 5 2" xfId="9711" xr:uid="{00000000-0005-0000-0000-000027250000}"/>
    <cellStyle name="Vírgula 6" xfId="6131" xr:uid="{00000000-0005-0000-0000-000028250000}"/>
    <cellStyle name="Vírgula 6 2" xfId="6132" xr:uid="{00000000-0005-0000-0000-000029250000}"/>
    <cellStyle name="Vírgula 6 2 2" xfId="6133" xr:uid="{00000000-0005-0000-0000-00002A250000}"/>
    <cellStyle name="Vírgula 6 2 2 2" xfId="9712" xr:uid="{00000000-0005-0000-0000-00002B250000}"/>
    <cellStyle name="Vírgula 6 2 3" xfId="9713" xr:uid="{00000000-0005-0000-0000-00002C250000}"/>
    <cellStyle name="Vírgula 6 3" xfId="6134" xr:uid="{00000000-0005-0000-0000-00002D250000}"/>
    <cellStyle name="Vírgula 6 3 2" xfId="9714" xr:uid="{00000000-0005-0000-0000-00002E250000}"/>
    <cellStyle name="Vírgula 6 4" xfId="9715" xr:uid="{00000000-0005-0000-0000-00002F250000}"/>
    <cellStyle name="Vírgula 7" xfId="6135" xr:uid="{00000000-0005-0000-0000-000030250000}"/>
    <cellStyle name="Vírgula 7 2" xfId="6136" xr:uid="{00000000-0005-0000-0000-000031250000}"/>
    <cellStyle name="Vírgula 7 2 2" xfId="6137" xr:uid="{00000000-0005-0000-0000-000032250000}"/>
    <cellStyle name="Vírgula 7 2 2 2" xfId="9716" xr:uid="{00000000-0005-0000-0000-000033250000}"/>
    <cellStyle name="Vírgula 7 2 3" xfId="9717" xr:uid="{00000000-0005-0000-0000-000034250000}"/>
    <cellStyle name="Vírgula 7 3" xfId="6138" xr:uid="{00000000-0005-0000-0000-000035250000}"/>
    <cellStyle name="Vírgula 7 3 2" xfId="9718" xr:uid="{00000000-0005-0000-0000-000036250000}"/>
    <cellStyle name="Vírgula 7 4" xfId="9719" xr:uid="{00000000-0005-0000-0000-000037250000}"/>
    <cellStyle name="Vírgula 8" xfId="6139" xr:uid="{00000000-0005-0000-0000-000038250000}"/>
    <cellStyle name="Vírgula 8 2" xfId="6140" xr:uid="{00000000-0005-0000-0000-000039250000}"/>
    <cellStyle name="Vírgula 8 2 2" xfId="9720" xr:uid="{00000000-0005-0000-0000-00003A250000}"/>
    <cellStyle name="Vírgula 8 3" xfId="9721" xr:uid="{00000000-0005-0000-0000-00003B250000}"/>
    <cellStyle name="Vírgula 9" xfId="6141" xr:uid="{00000000-0005-0000-0000-00003C250000}"/>
    <cellStyle name="Vírgula 9 2" xfId="6142" xr:uid="{00000000-0005-0000-0000-00003D250000}"/>
    <cellStyle name="Vírgula 9 2 2" xfId="6143" xr:uid="{00000000-0005-0000-0000-00003E250000}"/>
    <cellStyle name="Vírgula 9 2 2 2" xfId="9722" xr:uid="{00000000-0005-0000-0000-00003F250000}"/>
    <cellStyle name="Vírgula 9 2 3" xfId="9723" xr:uid="{00000000-0005-0000-0000-000040250000}"/>
    <cellStyle name="Vírgula 9 3" xfId="6144" xr:uid="{00000000-0005-0000-0000-000041250000}"/>
    <cellStyle name="Vírgula 9 3 2" xfId="9724" xr:uid="{00000000-0005-0000-0000-000042250000}"/>
    <cellStyle name="Vírgula 9 4" xfId="9725" xr:uid="{00000000-0005-0000-0000-000043250000}"/>
    <cellStyle name="Vírgula0" xfId="6145" xr:uid="{00000000-0005-0000-0000-000044250000}"/>
    <cellStyle name="Vírgula0 2" xfId="9280" xr:uid="{00000000-0005-0000-0000-000045250000}"/>
    <cellStyle name="Währung" xfId="9281" xr:uid="{00000000-0005-0000-0000-000046250000}"/>
    <cellStyle name="Währung [0]_Compiling Utility Macros" xfId="6146" xr:uid="{00000000-0005-0000-0000-000047250000}"/>
    <cellStyle name="Währung 2" xfId="9282" xr:uid="{00000000-0005-0000-0000-000048250000}"/>
    <cellStyle name="Währung_Compiling Utility Macros" xfId="6147" xr:uid="{00000000-0005-0000-0000-000049250000}"/>
    <cellStyle name="Walutowy [0]_laroux" xfId="6148" xr:uid="{00000000-0005-0000-0000-00004A250000}"/>
    <cellStyle name="Walutowy_laroux" xfId="6149" xr:uid="{00000000-0005-0000-0000-00004B250000}"/>
    <cellStyle name="Warning Text" xfId="6150" xr:uid="{00000000-0005-0000-0000-00004C250000}"/>
    <cellStyle name="Warning Text 2" xfId="6151" xr:uid="{00000000-0005-0000-0000-00004D250000}"/>
    <cellStyle name="White" xfId="6152" xr:uid="{00000000-0005-0000-0000-00004E250000}"/>
    <cellStyle name="X" xfId="6153" xr:uid="{00000000-0005-0000-0000-00004F250000}"/>
    <cellStyle name="X - None" xfId="6154" xr:uid="{00000000-0005-0000-0000-000050250000}"/>
    <cellStyle name="x_~3097260" xfId="6155" xr:uid="{00000000-0005-0000-0000-000051250000}"/>
    <cellStyle name="X_Mary911" xfId="6156" xr:uid="{00000000-0005-0000-0000-000052250000}"/>
    <cellStyle name="X_Mary911 2" xfId="9283" xr:uid="{00000000-0005-0000-0000-000053250000}"/>
    <cellStyle name="X_Mary911_star0428" xfId="6157" xr:uid="{00000000-0005-0000-0000-000054250000}"/>
    <cellStyle name="X_Mary911_star0428_Cópia de Modelo - Fluxo de Caixa Orcamento 09052009_V36_3" xfId="6158" xr:uid="{00000000-0005-0000-0000-000055250000}"/>
    <cellStyle name="X_Mary911_star0428_Cópia de Modelo - Fluxo de Caixa Orcamento 09052009_V36_3_Apresentação 230609" xfId="6159" xr:uid="{00000000-0005-0000-0000-000056250000}"/>
    <cellStyle name="X_Mary911_star0428_Cópia de Modelo - Fluxo de Caixa Orcamento 09052009_V36_3_Apresentação 230609_Fluxo de caixa 20100224" xfId="9284" xr:uid="{00000000-0005-0000-0000-000057250000}"/>
    <cellStyle name="X_Mary911_star0428_Cópia de Modelo - Fluxo de Caixa Orcamento 09052009_V36_3_Apresentação 230609_Geração de Caixa Operacional 2010 (2)" xfId="9285" xr:uid="{00000000-0005-0000-0000-000058250000}"/>
    <cellStyle name="X_Mary911_star0428_Cópia de Modelo - Fluxo de Caixa Orcamento 09052009_V36_3_Apresentação 230609_Orçamento Caixa 2010 (após - 60 MM)_dolar_19032010" xfId="9286" xr:uid="{00000000-0005-0000-0000-000059250000}"/>
    <cellStyle name="X_Mary911_star0428_Fluxo de caixa 20100224" xfId="9287" xr:uid="{00000000-0005-0000-0000-00005A250000}"/>
    <cellStyle name="X_Mary911_star0428_Fluxo de Caixa Orcamento FINAL_13052009" xfId="6160" xr:uid="{00000000-0005-0000-0000-00005B250000}"/>
    <cellStyle name="X_Mary911_star0428_Geração de Caixa Operacional 2010 (2)" xfId="9288" xr:uid="{00000000-0005-0000-0000-00005C250000}"/>
    <cellStyle name="X_Mary911_star0428_GOL Financial Model" xfId="6161" xr:uid="{00000000-0005-0000-0000-00005D250000}"/>
    <cellStyle name="X_Mary911_star0428_GOL Financial Model ORC2007 v16" xfId="6162" xr:uid="{00000000-0005-0000-0000-00005E250000}"/>
    <cellStyle name="X_Mary911_star0428_GOL Financial Model ORC2007 v16_Apresentação 230609" xfId="6163" xr:uid="{00000000-0005-0000-0000-00005F250000}"/>
    <cellStyle name="X_Mary911_star0428_GOL Financial Model ORC2007 v16_Apresentação 230609_Fluxo de caixa 20100224" xfId="9289" xr:uid="{00000000-0005-0000-0000-000060250000}"/>
    <cellStyle name="X_Mary911_star0428_GOL Financial Model ORC2007 v16_Apresentação 230609_Geração de Caixa Operacional 2010 (2)" xfId="9290" xr:uid="{00000000-0005-0000-0000-000061250000}"/>
    <cellStyle name="X_Mary911_star0428_GOL Financial Model ORC2007 v16_Apresentação 230609_Orçamento Caixa 2010 (após - 60 MM)_dolar_19032010" xfId="9291" xr:uid="{00000000-0005-0000-0000-000062250000}"/>
    <cellStyle name="X_Mary911_star0428_GOL Financial Model ORC2007 v16_Fluxo de Caixa Orcamento FINAL_13052009" xfId="6164" xr:uid="{00000000-0005-0000-0000-000063250000}"/>
    <cellStyle name="X_Mary911_star0428_GOL Financial Model_Apresentação 230609" xfId="6165" xr:uid="{00000000-0005-0000-0000-000064250000}"/>
    <cellStyle name="X_Mary911_star0428_GOL Financial Model_Apresentação 230609_Fluxo de caixa 20100224" xfId="9292" xr:uid="{00000000-0005-0000-0000-000065250000}"/>
    <cellStyle name="X_Mary911_star0428_GOL Financial Model_Apresentação 230609_Geração de Caixa Operacional 2010 (2)" xfId="9293" xr:uid="{00000000-0005-0000-0000-000066250000}"/>
    <cellStyle name="X_Mary911_star0428_GOL Financial Model_Apresentação 230609_Orçamento Caixa 2010 (após - 60 MM)_dolar_19032010" xfId="9294" xr:uid="{00000000-0005-0000-0000-000067250000}"/>
    <cellStyle name="X_Mary911_star0428_GOL Financial Model_Fluxo de Caixa Orcamento FINAL_13052009" xfId="6166" xr:uid="{00000000-0005-0000-0000-000068250000}"/>
    <cellStyle name="X_Mary911_star0428_MJS New Look Merger Model" xfId="6167" xr:uid="{00000000-0005-0000-0000-000069250000}"/>
    <cellStyle name="X_Mary911_star0428_MJS New Look Merger Model 2" xfId="9295" xr:uid="{00000000-0005-0000-0000-00006A250000}"/>
    <cellStyle name="X_Mary911_star0428_MJS New Look Merger Model_Cópia de Modelo - Fluxo de Caixa Orcamento 09052009_V36_3" xfId="6168" xr:uid="{00000000-0005-0000-0000-00006B250000}"/>
    <cellStyle name="X_Mary911_star0428_MJS New Look Merger Model_Cópia de Modelo - Fluxo de Caixa Orcamento 09052009_V36_3 2" xfId="9296" xr:uid="{00000000-0005-0000-0000-00006C250000}"/>
    <cellStyle name="X_Mary911_star0428_MJS New Look Merger Model_Cópia de Modelo - Fluxo de Caixa Orcamento 09052009_V36_3_Apresentação 230609" xfId="6169" xr:uid="{00000000-0005-0000-0000-00006D250000}"/>
    <cellStyle name="X_Mary911_star0428_MJS New Look Merger Model_Cópia de Modelo - Fluxo de Caixa Orcamento 09052009_V36_3_Apresentação 230609 2" xfId="9297" xr:uid="{00000000-0005-0000-0000-00006E250000}"/>
    <cellStyle name="X_Mary911_star0428_MJS New Look Merger Model_Cópia de Modelo - Fluxo de Caixa Orcamento 09052009_V36_3_Apresentação 230609_Fluxo de caixa 20100224" xfId="9298" xr:uid="{00000000-0005-0000-0000-00006F250000}"/>
    <cellStyle name="X_Mary911_star0428_MJS New Look Merger Model_Cópia de Modelo - Fluxo de Caixa Orcamento 09052009_V36_3_Apresentação 230609_Fluxo de caixa 20100224 2" xfId="9299" xr:uid="{00000000-0005-0000-0000-000070250000}"/>
    <cellStyle name="X_Mary911_star0428_MJS New Look Merger Model_Cópia de Modelo - Fluxo de Caixa Orcamento 09052009_V36_3_Apresentação 230609_Geração de Caixa Operacional 2010 (2)" xfId="9300" xr:uid="{00000000-0005-0000-0000-000071250000}"/>
    <cellStyle name="X_Mary911_star0428_MJS New Look Merger Model_Cópia de Modelo - Fluxo de Caixa Orcamento 09052009_V36_3_Apresentação 230609_Geração de Caixa Operacional 2010 (2) 2" xfId="9301" xr:uid="{00000000-0005-0000-0000-000072250000}"/>
    <cellStyle name="X_Mary911_star0428_MJS New Look Merger Model_Cópia de Modelo - Fluxo de Caixa Orcamento 09052009_V36_3_Apresentação 230609_Orçamento Caixa 2010 (após - 60 MM)_dolar_19032010" xfId="9302" xr:uid="{00000000-0005-0000-0000-000073250000}"/>
    <cellStyle name="X_Mary911_star0428_MJS New Look Merger Model_Cópia de Modelo - Fluxo de Caixa Orcamento 09052009_V36_3_Apresentação 230609_Orçamento Caixa 2010 (após - 60 MM)_dolar_19032010 2" xfId="9303" xr:uid="{00000000-0005-0000-0000-000074250000}"/>
    <cellStyle name="X_Mary911_star0428_MJS New Look Merger Model_Fluxo de caixa 20100224" xfId="9304" xr:uid="{00000000-0005-0000-0000-000075250000}"/>
    <cellStyle name="X_Mary911_star0428_MJS New Look Merger Model_Fluxo de caixa 20100224 2" xfId="9305" xr:uid="{00000000-0005-0000-0000-000076250000}"/>
    <cellStyle name="X_Mary911_star0428_MJS New Look Merger Model_Fluxo de Caixa Orcamento FINAL_13052009" xfId="6170" xr:uid="{00000000-0005-0000-0000-000077250000}"/>
    <cellStyle name="X_Mary911_star0428_MJS New Look Merger Model_Fluxo de Caixa Orcamento FINAL_13052009 2" xfId="9306" xr:uid="{00000000-0005-0000-0000-000078250000}"/>
    <cellStyle name="X_Mary911_star0428_MJS New Look Merger Model_Geração de Caixa Operacional 2010 (2)" xfId="9307" xr:uid="{00000000-0005-0000-0000-000079250000}"/>
    <cellStyle name="X_Mary911_star0428_MJS New Look Merger Model_Geração de Caixa Operacional 2010 (2) 2" xfId="9308" xr:uid="{00000000-0005-0000-0000-00007A250000}"/>
    <cellStyle name="X_Mary911_star0428_MJS New Look Merger Model_GOL Financial Model" xfId="6171" xr:uid="{00000000-0005-0000-0000-00007B250000}"/>
    <cellStyle name="X_Mary911_star0428_MJS New Look Merger Model_GOL Financial Model 2" xfId="9309" xr:uid="{00000000-0005-0000-0000-00007C250000}"/>
    <cellStyle name="X_Mary911_star0428_MJS New Look Merger Model_GOL Financial Model ORC2007 v16" xfId="6172" xr:uid="{00000000-0005-0000-0000-00007D250000}"/>
    <cellStyle name="X_Mary911_star0428_MJS New Look Merger Model_GOL Financial Model ORC2007 v16 2" xfId="9310" xr:uid="{00000000-0005-0000-0000-00007E250000}"/>
    <cellStyle name="X_Mary911_star0428_MJS New Look Merger Model_GOL Financial Model ORC2007 v16_Apresentação 230609" xfId="6173" xr:uid="{00000000-0005-0000-0000-00007F250000}"/>
    <cellStyle name="X_Mary911_star0428_MJS New Look Merger Model_GOL Financial Model ORC2007 v16_Apresentação 230609 2" xfId="9311" xr:uid="{00000000-0005-0000-0000-000080250000}"/>
    <cellStyle name="X_Mary911_star0428_MJS New Look Merger Model_GOL Financial Model ORC2007 v16_Apresentação 230609_Fluxo de caixa 20100224" xfId="9312" xr:uid="{00000000-0005-0000-0000-000081250000}"/>
    <cellStyle name="X_Mary911_star0428_MJS New Look Merger Model_GOL Financial Model ORC2007 v16_Apresentação 230609_Fluxo de caixa 20100224 2" xfId="9313" xr:uid="{00000000-0005-0000-0000-000082250000}"/>
    <cellStyle name="X_Mary911_star0428_MJS New Look Merger Model_GOL Financial Model ORC2007 v16_Apresentação 230609_Geração de Caixa Operacional 2010 (2)" xfId="9314" xr:uid="{00000000-0005-0000-0000-000083250000}"/>
    <cellStyle name="X_Mary911_star0428_MJS New Look Merger Model_GOL Financial Model ORC2007 v16_Apresentação 230609_Geração de Caixa Operacional 2010 (2) 2" xfId="9315" xr:uid="{00000000-0005-0000-0000-000084250000}"/>
    <cellStyle name="X_Mary911_star0428_MJS New Look Merger Model_GOL Financial Model ORC2007 v16_Apresentação 230609_Orçamento Caixa 2010 (após - 60 MM)_dolar_19032010" xfId="9316" xr:uid="{00000000-0005-0000-0000-000085250000}"/>
    <cellStyle name="X_Mary911_star0428_MJS New Look Merger Model_GOL Financial Model ORC2007 v16_Apresentação 230609_Orçamento Caixa 2010 (após - 60 MM)_dolar_19032010 2" xfId="9317" xr:uid="{00000000-0005-0000-0000-000086250000}"/>
    <cellStyle name="X_Mary911_star0428_MJS New Look Merger Model_GOL Financial Model ORC2007 v16_Fluxo de Caixa Orcamento FINAL_13052009" xfId="6174" xr:uid="{00000000-0005-0000-0000-000087250000}"/>
    <cellStyle name="X_Mary911_star0428_MJS New Look Merger Model_GOL Financial Model ORC2007 v16_Fluxo de Caixa Orcamento FINAL_13052009 2" xfId="9318" xr:uid="{00000000-0005-0000-0000-000088250000}"/>
    <cellStyle name="X_Mary911_star0428_MJS New Look Merger Model_GOL Financial Model_Apresentação 230609" xfId="6175" xr:uid="{00000000-0005-0000-0000-000089250000}"/>
    <cellStyle name="X_Mary911_star0428_MJS New Look Merger Model_GOL Financial Model_Apresentação 230609 2" xfId="9319" xr:uid="{00000000-0005-0000-0000-00008A250000}"/>
    <cellStyle name="X_Mary911_star0428_MJS New Look Merger Model_GOL Financial Model_Apresentação 230609_Fluxo de caixa 20100224" xfId="9320" xr:uid="{00000000-0005-0000-0000-00008B250000}"/>
    <cellStyle name="X_Mary911_star0428_MJS New Look Merger Model_GOL Financial Model_Apresentação 230609_Fluxo de caixa 20100224 2" xfId="9321" xr:uid="{00000000-0005-0000-0000-00008C250000}"/>
    <cellStyle name="X_Mary911_star0428_MJS New Look Merger Model_GOL Financial Model_Apresentação 230609_Geração de Caixa Operacional 2010 (2)" xfId="9322" xr:uid="{00000000-0005-0000-0000-00008D250000}"/>
    <cellStyle name="X_Mary911_star0428_MJS New Look Merger Model_GOL Financial Model_Apresentação 230609_Geração de Caixa Operacional 2010 (2) 2" xfId="9323" xr:uid="{00000000-0005-0000-0000-00008E250000}"/>
    <cellStyle name="X_Mary911_star0428_MJS New Look Merger Model_GOL Financial Model_Apresentação 230609_Orçamento Caixa 2010 (após - 60 MM)_dolar_19032010" xfId="9324" xr:uid="{00000000-0005-0000-0000-00008F250000}"/>
    <cellStyle name="X_Mary911_star0428_MJS New Look Merger Model_GOL Financial Model_Apresentação 230609_Orçamento Caixa 2010 (após - 60 MM)_dolar_19032010 2" xfId="9325" xr:uid="{00000000-0005-0000-0000-000090250000}"/>
    <cellStyle name="X_Mary911_star0428_MJS New Look Merger Model_GOL Financial Model_Fluxo de Caixa Orcamento FINAL_13052009" xfId="6176" xr:uid="{00000000-0005-0000-0000-000091250000}"/>
    <cellStyle name="X_Mary911_star0428_MJS New Look Merger Model_GOL Financial Model_Fluxo de Caixa Orcamento FINAL_13052009 2" xfId="9326" xr:uid="{00000000-0005-0000-0000-000092250000}"/>
    <cellStyle name="X_Mary911_star0428_MJS New Look Merger Model_Orçamento Caixa 2010 (após - 60 MM)_dolar_19032010" xfId="9327" xr:uid="{00000000-0005-0000-0000-000093250000}"/>
    <cellStyle name="X_Mary911_star0428_MJS New Look Merger Model_Orçamento Caixa 2010 (após - 60 MM)_dolar_19032010 2" xfId="9328" xr:uid="{00000000-0005-0000-0000-000094250000}"/>
    <cellStyle name="X_Mary911_star0428_MJS New Look Merger Model_Pasta2" xfId="6177" xr:uid="{00000000-0005-0000-0000-000095250000}"/>
    <cellStyle name="X_Mary911_star0428_MJS New Look Merger Model_Pasta2 2" xfId="9329" xr:uid="{00000000-0005-0000-0000-000096250000}"/>
    <cellStyle name="X_Mary911_star0428_MJS New Look Merger Model_Pasta2_Fluxo de caixa 20100224" xfId="9330" xr:uid="{00000000-0005-0000-0000-000097250000}"/>
    <cellStyle name="X_Mary911_star0428_MJS New Look Merger Model_Pasta2_Fluxo de caixa 20100224 2" xfId="9331" xr:uid="{00000000-0005-0000-0000-000098250000}"/>
    <cellStyle name="X_Mary911_star0428_MJS New Look Merger Model_Pasta2_Geração de Caixa Operacional 2010 (2)" xfId="9332" xr:uid="{00000000-0005-0000-0000-000099250000}"/>
    <cellStyle name="X_Mary911_star0428_MJS New Look Merger Model_Pasta2_Geração de Caixa Operacional 2010 (2) 2" xfId="9333" xr:uid="{00000000-0005-0000-0000-00009A250000}"/>
    <cellStyle name="X_Mary911_star0428_MJS New Look Merger Model_Pasta2_Orçamento Caixa 2010 (após - 60 MM)_dolar_19032010" xfId="9334" xr:uid="{00000000-0005-0000-0000-00009B250000}"/>
    <cellStyle name="X_Mary911_star0428_MJS New Look Merger Model_Pasta2_Orçamento Caixa 2010 (após - 60 MM)_dolar_19032010 2" xfId="9335" xr:uid="{00000000-0005-0000-0000-00009C250000}"/>
    <cellStyle name="X_Mary911_star0428_MJS New Look Merger Model_Relatório (2006)" xfId="6178" xr:uid="{00000000-0005-0000-0000-00009D250000}"/>
    <cellStyle name="X_Mary911_star0428_MJS New Look Merger Model_Relatório (2007)" xfId="6179" xr:uid="{00000000-0005-0000-0000-00009E250000}"/>
    <cellStyle name="X_Mary911_star0428_Orçamento Caixa 2010 (após - 60 MM)_dolar_19032010" xfId="9336" xr:uid="{00000000-0005-0000-0000-00009F250000}"/>
    <cellStyle name="X_Mary911_star0428_Pasta2" xfId="6180" xr:uid="{00000000-0005-0000-0000-0000A0250000}"/>
    <cellStyle name="X_Mary911_star0428_Pasta2_Fluxo de caixa 20100224" xfId="9337" xr:uid="{00000000-0005-0000-0000-0000A1250000}"/>
    <cellStyle name="X_Mary911_star0428_Pasta2_Geração de Caixa Operacional 2010 (2)" xfId="9338" xr:uid="{00000000-0005-0000-0000-0000A2250000}"/>
    <cellStyle name="X_Mary911_star0428_Pasta2_Orçamento Caixa 2010 (após - 60 MM)_dolar_19032010" xfId="9339" xr:uid="{00000000-0005-0000-0000-0000A3250000}"/>
    <cellStyle name="X_Mary911_star0428_Relatório (2006)" xfId="6181" xr:uid="{00000000-0005-0000-0000-0000A4250000}"/>
    <cellStyle name="X_Mary911_star0428_Relatório (2007)" xfId="6182" xr:uid="{00000000-0005-0000-0000-0000A5250000}"/>
    <cellStyle name="X_star0428" xfId="6183" xr:uid="{00000000-0005-0000-0000-0000A6250000}"/>
    <cellStyle name="X_star0428_MJS New Look Merger Model" xfId="6184" xr:uid="{00000000-0005-0000-0000-0000A7250000}"/>
    <cellStyle name="X_star0428_MJS New Look Merger Model 2" xfId="9340" xr:uid="{00000000-0005-0000-0000-0000A8250000}"/>
    <cellStyle name="X_star0428_MJS New Look Merger Model_Cópia de Modelo - Fluxo de Caixa Orcamento 09052009_V36_3" xfId="6185" xr:uid="{00000000-0005-0000-0000-0000A9250000}"/>
    <cellStyle name="X_star0428_MJS New Look Merger Model_Cópia de Modelo - Fluxo de Caixa Orcamento 09052009_V36_3 2" xfId="9341" xr:uid="{00000000-0005-0000-0000-0000AA250000}"/>
    <cellStyle name="X_star0428_MJS New Look Merger Model_Cópia de Modelo - Fluxo de Caixa Orcamento 09052009_V36_3_Apresentação 230609" xfId="6186" xr:uid="{00000000-0005-0000-0000-0000AB250000}"/>
    <cellStyle name="X_star0428_MJS New Look Merger Model_Cópia de Modelo - Fluxo de Caixa Orcamento 09052009_V36_3_Apresentação 230609 2" xfId="9342" xr:uid="{00000000-0005-0000-0000-0000AC250000}"/>
    <cellStyle name="X_star0428_MJS New Look Merger Model_Cópia de Modelo - Fluxo de Caixa Orcamento 09052009_V36_3_Apresentação 230609_Fluxo de caixa 20100224" xfId="9343" xr:uid="{00000000-0005-0000-0000-0000AD250000}"/>
    <cellStyle name="X_star0428_MJS New Look Merger Model_Cópia de Modelo - Fluxo de Caixa Orcamento 09052009_V36_3_Apresentação 230609_Fluxo de caixa 20100224 2" xfId="9344" xr:uid="{00000000-0005-0000-0000-0000AE250000}"/>
    <cellStyle name="X_star0428_MJS New Look Merger Model_Cópia de Modelo - Fluxo de Caixa Orcamento 09052009_V36_3_Apresentação 230609_Geração de Caixa Operacional 2010 (2)" xfId="9345" xr:uid="{00000000-0005-0000-0000-0000AF250000}"/>
    <cellStyle name="X_star0428_MJS New Look Merger Model_Cópia de Modelo - Fluxo de Caixa Orcamento 09052009_V36_3_Apresentação 230609_Geração de Caixa Operacional 2010 (2) 2" xfId="9346" xr:uid="{00000000-0005-0000-0000-0000B0250000}"/>
    <cellStyle name="X_star0428_MJS New Look Merger Model_Cópia de Modelo - Fluxo de Caixa Orcamento 09052009_V36_3_Apresentação 230609_Orçamento Caixa 2010 (após - 60 MM)_dolar_19032010" xfId="9347" xr:uid="{00000000-0005-0000-0000-0000B1250000}"/>
    <cellStyle name="X_star0428_MJS New Look Merger Model_Cópia de Modelo - Fluxo de Caixa Orcamento 09052009_V36_3_Apresentação 230609_Orçamento Caixa 2010 (após - 60 MM)_dolar_19032010 2" xfId="9348" xr:uid="{00000000-0005-0000-0000-0000B2250000}"/>
    <cellStyle name="X_star0428_MJS New Look Merger Model_Fluxo de caixa 20100224" xfId="9349" xr:uid="{00000000-0005-0000-0000-0000B3250000}"/>
    <cellStyle name="X_star0428_MJS New Look Merger Model_Fluxo de caixa 20100224 2" xfId="9350" xr:uid="{00000000-0005-0000-0000-0000B4250000}"/>
    <cellStyle name="X_star0428_MJS New Look Merger Model_Fluxo de Caixa Orcamento FINAL_13052009" xfId="6187" xr:uid="{00000000-0005-0000-0000-0000B5250000}"/>
    <cellStyle name="X_star0428_MJS New Look Merger Model_Fluxo de Caixa Orcamento FINAL_13052009 2" xfId="9351" xr:uid="{00000000-0005-0000-0000-0000B6250000}"/>
    <cellStyle name="X_star0428_MJS New Look Merger Model_Geração de Caixa Operacional 2010 (2)" xfId="9352" xr:uid="{00000000-0005-0000-0000-0000B7250000}"/>
    <cellStyle name="X_star0428_MJS New Look Merger Model_Geração de Caixa Operacional 2010 (2) 2" xfId="9353" xr:uid="{00000000-0005-0000-0000-0000B8250000}"/>
    <cellStyle name="X_star0428_MJS New Look Merger Model_GOL Financial Model" xfId="6188" xr:uid="{00000000-0005-0000-0000-0000B9250000}"/>
    <cellStyle name="X_star0428_MJS New Look Merger Model_GOL Financial Model 2" xfId="9354" xr:uid="{00000000-0005-0000-0000-0000BA250000}"/>
    <cellStyle name="X_star0428_MJS New Look Merger Model_GOL Financial Model ORC2007 v16" xfId="6189" xr:uid="{00000000-0005-0000-0000-0000BB250000}"/>
    <cellStyle name="X_star0428_MJS New Look Merger Model_GOL Financial Model ORC2007 v16 2" xfId="9355" xr:uid="{00000000-0005-0000-0000-0000BC250000}"/>
    <cellStyle name="X_star0428_MJS New Look Merger Model_GOL Financial Model ORC2007 v16_Apresentação 230609" xfId="6190" xr:uid="{00000000-0005-0000-0000-0000BD250000}"/>
    <cellStyle name="X_star0428_MJS New Look Merger Model_GOL Financial Model ORC2007 v16_Apresentação 230609 2" xfId="9356" xr:uid="{00000000-0005-0000-0000-0000BE250000}"/>
    <cellStyle name="X_star0428_MJS New Look Merger Model_GOL Financial Model ORC2007 v16_Apresentação 230609_Fluxo de caixa 20100224" xfId="9357" xr:uid="{00000000-0005-0000-0000-0000BF250000}"/>
    <cellStyle name="X_star0428_MJS New Look Merger Model_GOL Financial Model ORC2007 v16_Apresentação 230609_Fluxo de caixa 20100224 2" xfId="9358" xr:uid="{00000000-0005-0000-0000-0000C0250000}"/>
    <cellStyle name="X_star0428_MJS New Look Merger Model_GOL Financial Model ORC2007 v16_Apresentação 230609_Geração de Caixa Operacional 2010 (2)" xfId="9359" xr:uid="{00000000-0005-0000-0000-0000C1250000}"/>
    <cellStyle name="X_star0428_MJS New Look Merger Model_GOL Financial Model ORC2007 v16_Apresentação 230609_Geração de Caixa Operacional 2010 (2) 2" xfId="9360" xr:uid="{00000000-0005-0000-0000-0000C2250000}"/>
    <cellStyle name="X_star0428_MJS New Look Merger Model_GOL Financial Model ORC2007 v16_Apresentação 230609_Orçamento Caixa 2010 (após - 60 MM)_dolar_19032010" xfId="9361" xr:uid="{00000000-0005-0000-0000-0000C3250000}"/>
    <cellStyle name="X_star0428_MJS New Look Merger Model_GOL Financial Model ORC2007 v16_Apresentação 230609_Orçamento Caixa 2010 (após - 60 MM)_dolar_19032010 2" xfId="9362" xr:uid="{00000000-0005-0000-0000-0000C4250000}"/>
    <cellStyle name="X_star0428_MJS New Look Merger Model_GOL Financial Model ORC2007 v16_Fluxo de Caixa Orcamento FINAL_13052009" xfId="6191" xr:uid="{00000000-0005-0000-0000-0000C5250000}"/>
    <cellStyle name="X_star0428_MJS New Look Merger Model_GOL Financial Model ORC2007 v16_Fluxo de Caixa Orcamento FINAL_13052009 2" xfId="9363" xr:uid="{00000000-0005-0000-0000-0000C6250000}"/>
    <cellStyle name="X_star0428_MJS New Look Merger Model_GOL Financial Model_Apresentação 230609" xfId="6192" xr:uid="{00000000-0005-0000-0000-0000C7250000}"/>
    <cellStyle name="X_star0428_MJS New Look Merger Model_GOL Financial Model_Apresentação 230609 2" xfId="9364" xr:uid="{00000000-0005-0000-0000-0000C8250000}"/>
    <cellStyle name="X_star0428_MJS New Look Merger Model_GOL Financial Model_Apresentação 230609_Fluxo de caixa 20100224" xfId="9365" xr:uid="{00000000-0005-0000-0000-0000C9250000}"/>
    <cellStyle name="X_star0428_MJS New Look Merger Model_GOL Financial Model_Apresentação 230609_Fluxo de caixa 20100224 2" xfId="9366" xr:uid="{00000000-0005-0000-0000-0000CA250000}"/>
    <cellStyle name="X_star0428_MJS New Look Merger Model_GOL Financial Model_Apresentação 230609_Geração de Caixa Operacional 2010 (2)" xfId="9367" xr:uid="{00000000-0005-0000-0000-0000CB250000}"/>
    <cellStyle name="X_star0428_MJS New Look Merger Model_GOL Financial Model_Apresentação 230609_Geração de Caixa Operacional 2010 (2) 2" xfId="9368" xr:uid="{00000000-0005-0000-0000-0000CC250000}"/>
    <cellStyle name="X_star0428_MJS New Look Merger Model_GOL Financial Model_Apresentação 230609_Orçamento Caixa 2010 (após - 60 MM)_dolar_19032010" xfId="9369" xr:uid="{00000000-0005-0000-0000-0000CD250000}"/>
    <cellStyle name="X_star0428_MJS New Look Merger Model_GOL Financial Model_Apresentação 230609_Orçamento Caixa 2010 (após - 60 MM)_dolar_19032010 2" xfId="9370" xr:uid="{00000000-0005-0000-0000-0000CE250000}"/>
    <cellStyle name="X_star0428_MJS New Look Merger Model_GOL Financial Model_Fluxo de Caixa Orcamento FINAL_13052009" xfId="6193" xr:uid="{00000000-0005-0000-0000-0000CF250000}"/>
    <cellStyle name="X_star0428_MJS New Look Merger Model_GOL Financial Model_Fluxo de Caixa Orcamento FINAL_13052009 2" xfId="9371" xr:uid="{00000000-0005-0000-0000-0000D0250000}"/>
    <cellStyle name="X_star0428_MJS New Look Merger Model_Orçamento Caixa 2010 (após - 60 MM)_dolar_19032010" xfId="9372" xr:uid="{00000000-0005-0000-0000-0000D1250000}"/>
    <cellStyle name="X_star0428_MJS New Look Merger Model_Orçamento Caixa 2010 (após - 60 MM)_dolar_19032010 2" xfId="9373" xr:uid="{00000000-0005-0000-0000-0000D2250000}"/>
    <cellStyle name="X_star0428_MJS New Look Merger Model_Pasta2" xfId="6194" xr:uid="{00000000-0005-0000-0000-0000D3250000}"/>
    <cellStyle name="X_star0428_MJS New Look Merger Model_Pasta2 2" xfId="9374" xr:uid="{00000000-0005-0000-0000-0000D4250000}"/>
    <cellStyle name="X_star0428_MJS New Look Merger Model_Pasta2_Fluxo de caixa 20100224" xfId="9375" xr:uid="{00000000-0005-0000-0000-0000D5250000}"/>
    <cellStyle name="X_star0428_MJS New Look Merger Model_Pasta2_Fluxo de caixa 20100224 2" xfId="9376" xr:uid="{00000000-0005-0000-0000-0000D6250000}"/>
    <cellStyle name="X_star0428_MJS New Look Merger Model_Pasta2_Geração de Caixa Operacional 2010 (2)" xfId="9377" xr:uid="{00000000-0005-0000-0000-0000D7250000}"/>
    <cellStyle name="X_star0428_MJS New Look Merger Model_Pasta2_Geração de Caixa Operacional 2010 (2) 2" xfId="9378" xr:uid="{00000000-0005-0000-0000-0000D8250000}"/>
    <cellStyle name="X_star0428_MJS New Look Merger Model_Pasta2_Orçamento Caixa 2010 (após - 60 MM)_dolar_19032010" xfId="9379" xr:uid="{00000000-0005-0000-0000-0000D9250000}"/>
    <cellStyle name="X_star0428_MJS New Look Merger Model_Pasta2_Orçamento Caixa 2010 (após - 60 MM)_dolar_19032010 2" xfId="9380" xr:uid="{00000000-0005-0000-0000-0000DA250000}"/>
    <cellStyle name="X_star0428_MJS New Look Merger Model_Relatório (2006)" xfId="6195" xr:uid="{00000000-0005-0000-0000-0000DB250000}"/>
    <cellStyle name="X_star0428_MJS New Look Merger Model_Relatório (2007)" xfId="6196" xr:uid="{00000000-0005-0000-0000-0000DC250000}"/>
    <cellStyle name="x0" xfId="6197" xr:uid="{00000000-0005-0000-0000-0000DD250000}"/>
    <cellStyle name="x1" xfId="6198" xr:uid="{00000000-0005-0000-0000-0000DE250000}"/>
    <cellStyle name="x2" xfId="6199" xr:uid="{00000000-0005-0000-0000-0000DF250000}"/>
    <cellStyle name="XComma" xfId="6200" xr:uid="{00000000-0005-0000-0000-0000E0250000}"/>
    <cellStyle name="XComma 0.0" xfId="6201" xr:uid="{00000000-0005-0000-0000-0000E1250000}"/>
    <cellStyle name="XComma 0.00" xfId="6202" xr:uid="{00000000-0005-0000-0000-0000E2250000}"/>
    <cellStyle name="XComma 0.000" xfId="6203" xr:uid="{00000000-0005-0000-0000-0000E3250000}"/>
    <cellStyle name="XComma_Empr-CP LP - 1º e 2º  trim-2001." xfId="6204" xr:uid="{00000000-0005-0000-0000-0000E4250000}"/>
    <cellStyle name="XCurrency" xfId="6205" xr:uid="{00000000-0005-0000-0000-0000E5250000}"/>
    <cellStyle name="XCurrency 0.0" xfId="6206" xr:uid="{00000000-0005-0000-0000-0000E6250000}"/>
    <cellStyle name="XCurrency 0.00" xfId="6207" xr:uid="{00000000-0005-0000-0000-0000E7250000}"/>
    <cellStyle name="XCurrency 0.000" xfId="6208" xr:uid="{00000000-0005-0000-0000-0000E8250000}"/>
    <cellStyle name="XCurrency_Amortização Outorga" xfId="6209" xr:uid="{00000000-0005-0000-0000-0000E9250000}"/>
    <cellStyle name="Year" xfId="6210" xr:uid="{00000000-0005-0000-0000-0000EA250000}"/>
    <cellStyle name="Year 2" xfId="9381" xr:uid="{00000000-0005-0000-0000-0000EB250000}"/>
    <cellStyle name="Year Estimate" xfId="6211" xr:uid="{00000000-0005-0000-0000-0000EC250000}"/>
    <cellStyle name="Year_UBS Pactual LatAm telecom database July 2007" xfId="6212" xr:uid="{00000000-0005-0000-0000-0000ED250000}"/>
    <cellStyle name="YearlyColumn" xfId="6213" xr:uid="{00000000-0005-0000-0000-0000EE250000}"/>
    <cellStyle name="쉼표_´00 INV MEETING(SYS) 29-12" xfId="6214" xr:uid="{00000000-0005-0000-0000-0000EF250000}"/>
    <cellStyle name="콤마 [0]_Auditoria_Dezembro2000" xfId="6215" xr:uid="{00000000-0005-0000-0000-0000F0250000}"/>
    <cellStyle name="콤마_Auditoria_Dezembro2000" xfId="6216" xr:uid="{00000000-0005-0000-0000-0000F1250000}"/>
    <cellStyle name="통화 [0]_laroux" xfId="6217" xr:uid="{00000000-0005-0000-0000-0000F2250000}"/>
    <cellStyle name="통화_laroux" xfId="6218" xr:uid="{00000000-0005-0000-0000-0000F3250000}"/>
    <cellStyle name="표준_´00 INV MEETING(SYS) 29-12" xfId="6219" xr:uid="{00000000-0005-0000-0000-0000F4250000}"/>
    <cellStyle name="一般_1999_CORP ACCTG" xfId="6220" xr:uid="{00000000-0005-0000-0000-0000F5250000}"/>
    <cellStyle name="千分位[0]_PERSONAL" xfId="6221" xr:uid="{00000000-0005-0000-0000-0000F6250000}"/>
    <cellStyle name="千分位_PERSONAL" xfId="6222" xr:uid="{00000000-0005-0000-0000-0000F7250000}"/>
    <cellStyle name="彡佊乒䱁弱佊乒䱁ㄸ⤱⤲吠䱁Ⱓ⌣尰㬩⡟刢∤⁜" xfId="9382" xr:uid="{00000000-0005-0000-0000-0000F8250000}"/>
    <cellStyle name="彡佊乒䱁弱佊乒䱁ㄸ⤱⤲吠䱁Ⱓ⌣尰㬩⡟刢∤⁜ 2" xfId="9383" xr:uid="{00000000-0005-0000-0000-0000F9250000}"/>
    <cellStyle name="標準_9-27出稿見積" xfId="9384" xr:uid="{00000000-0005-0000-0000-0000FA250000}"/>
    <cellStyle name="砀" xfId="9385" xr:uid="{00000000-0005-0000-0000-0000FB250000}"/>
    <cellStyle name="貨幣 [0]_PERSONAL" xfId="6223" xr:uid="{00000000-0005-0000-0000-0000FC250000}"/>
    <cellStyle name="貨幣_PERSONAL" xfId="6224" xr:uid="{00000000-0005-0000-0000-0000FD250000}"/>
  </cellStyles>
  <dxfs count="0"/>
  <tableStyles count="0" defaultTableStyle="TableStyleMedium2" defaultPivotStyle="PivotStyleLight16"/>
  <colors>
    <mruColors>
      <color rgb="FFF5770F"/>
      <color rgb="FFFFFFCC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0</xdr:col>
      <xdr:colOff>1838325</xdr:colOff>
      <xdr:row>3</xdr:row>
      <xdr:rowOff>23063</xdr:rowOff>
    </xdr:to>
    <xdr:pic>
      <xdr:nvPicPr>
        <xdr:cNvPr id="3" name="Picture 719">
          <a:extLst>
            <a:ext uri="{FF2B5EF4-FFF2-40B4-BE49-F238E27FC236}">
              <a16:creationId xmlns:a16="http://schemas.microsoft.com/office/drawing/2014/main" id="{79F52574-69CB-4F5E-8529-004D65680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2400"/>
          <a:ext cx="1619250" cy="35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Y174"/>
  <sheetViews>
    <sheetView showGridLines="0" zoomScale="120" zoomScaleNormal="120" workbookViewId="0">
      <pane xSplit="2" ySplit="5" topLeftCell="C92" activePane="bottomRight" state="frozen"/>
      <selection pane="topRight" activeCell="C1" sqref="C1"/>
      <selection pane="bottomLeft" activeCell="A6" sqref="A6"/>
      <selection pane="bottomRight" activeCell="C1" sqref="C1:F1048576"/>
    </sheetView>
  </sheetViews>
  <sheetFormatPr defaultRowHeight="13"/>
  <cols>
    <col min="1" max="1" width="64.59765625" customWidth="1"/>
    <col min="2" max="2" width="12.59765625" bestFit="1" customWidth="1"/>
    <col min="3" max="3" width="11.8984375" customWidth="1"/>
    <col min="4" max="4" width="10.69921875" customWidth="1"/>
    <col min="5" max="8" width="10.296875" customWidth="1"/>
    <col min="9" max="9" width="10.69921875" customWidth="1"/>
    <col min="10" max="26" width="10.296875" customWidth="1"/>
    <col min="27" max="28" width="10.09765625" customWidth="1"/>
    <col min="29" max="29" width="10" customWidth="1"/>
    <col min="30" max="32" width="10.59765625" customWidth="1"/>
    <col min="33" max="33" width="11.09765625" customWidth="1"/>
    <col min="34" max="34" width="10.59765625" customWidth="1"/>
    <col min="35" max="35" width="12.09765625" bestFit="1" customWidth="1"/>
    <col min="36" max="36" width="2.59765625" style="35" bestFit="1" customWidth="1"/>
    <col min="37" max="37" width="7.69921875" style="35" customWidth="1"/>
    <col min="38" max="38" width="7.296875" style="35" customWidth="1"/>
    <col min="39" max="40" width="9.09765625" style="35" customWidth="1"/>
    <col min="41" max="41" width="8.8984375" style="35" customWidth="1"/>
    <col min="42" max="42" width="9.09765625" style="35" customWidth="1"/>
    <col min="43" max="44" width="9.09765625" style="35"/>
  </cols>
  <sheetData>
    <row r="1" spans="1: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35">
      <c r="A3" s="16"/>
      <c r="B3" s="16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35">
      <c r="A4" s="16"/>
      <c r="B4" s="16"/>
      <c r="C4" s="16"/>
      <c r="D4" s="16"/>
      <c r="E4" s="16"/>
      <c r="F4" s="16"/>
      <c r="G4" s="16"/>
      <c r="H4" s="16"/>
      <c r="I4" s="16"/>
      <c r="K4" s="16"/>
      <c r="L4" s="16"/>
      <c r="M4" s="16"/>
      <c r="N4" s="16"/>
      <c r="O4" s="16"/>
      <c r="P4" s="16"/>
      <c r="Q4" s="16"/>
      <c r="R4" s="16"/>
      <c r="S4" s="16"/>
    </row>
    <row r="5" spans="1:35">
      <c r="A5" s="72"/>
      <c r="B5" s="72" t="s">
        <v>1</v>
      </c>
      <c r="C5" s="73" t="s">
        <v>0</v>
      </c>
      <c r="D5" s="73" t="s">
        <v>18</v>
      </c>
      <c r="E5" s="73" t="s">
        <v>19</v>
      </c>
      <c r="F5" s="73" t="s">
        <v>20</v>
      </c>
      <c r="G5" s="73" t="s">
        <v>21</v>
      </c>
      <c r="H5" s="73" t="s">
        <v>22</v>
      </c>
      <c r="I5" s="73" t="s">
        <v>23</v>
      </c>
      <c r="J5" s="73" t="s">
        <v>24</v>
      </c>
      <c r="K5" s="73" t="s">
        <v>25</v>
      </c>
      <c r="L5" s="73" t="s">
        <v>26</v>
      </c>
      <c r="M5" s="73" t="s">
        <v>27</v>
      </c>
      <c r="N5" s="73" t="s">
        <v>28</v>
      </c>
      <c r="O5" s="73" t="s">
        <v>29</v>
      </c>
      <c r="P5" s="73" t="s">
        <v>30</v>
      </c>
      <c r="Q5" s="73" t="s">
        <v>31</v>
      </c>
      <c r="R5" s="73" t="s">
        <v>34</v>
      </c>
      <c r="S5" s="73" t="s">
        <v>35</v>
      </c>
      <c r="T5" s="73" t="s">
        <v>37</v>
      </c>
      <c r="U5" s="73" t="s">
        <v>38</v>
      </c>
      <c r="V5" s="73" t="s">
        <v>41</v>
      </c>
      <c r="W5" s="73" t="s">
        <v>42</v>
      </c>
      <c r="X5" s="73" t="s">
        <v>44</v>
      </c>
      <c r="Y5" s="73" t="s">
        <v>45</v>
      </c>
      <c r="Z5" s="73" t="s">
        <v>46</v>
      </c>
      <c r="AA5" s="73" t="s">
        <v>47</v>
      </c>
      <c r="AB5" s="73" t="s">
        <v>48</v>
      </c>
      <c r="AC5" s="73" t="s">
        <v>49</v>
      </c>
      <c r="AD5" s="73" t="s">
        <v>50</v>
      </c>
      <c r="AE5" s="73" t="s">
        <v>51</v>
      </c>
      <c r="AF5" s="74" t="s">
        <v>52</v>
      </c>
      <c r="AG5" s="75" t="s">
        <v>53</v>
      </c>
      <c r="AH5" s="75" t="s">
        <v>54</v>
      </c>
      <c r="AI5" s="75" t="s">
        <v>55</v>
      </c>
    </row>
    <row r="6" spans="1:35">
      <c r="A6" s="76" t="s">
        <v>168</v>
      </c>
      <c r="B6" s="77"/>
      <c r="C6" s="78"/>
      <c r="D6" s="78"/>
      <c r="E6" s="78"/>
      <c r="F6" s="78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</row>
    <row r="7" spans="1:35">
      <c r="A7" s="3"/>
      <c r="B7" s="1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35">
      <c r="A8" s="6" t="s">
        <v>60</v>
      </c>
      <c r="B8" s="6" t="s">
        <v>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/>
      <c r="AC8" s="5"/>
      <c r="AD8" s="34"/>
      <c r="AE8" s="34"/>
      <c r="AF8" s="34"/>
      <c r="AG8" s="34"/>
      <c r="AH8" s="34"/>
      <c r="AI8" s="7">
        <v>2065.498149</v>
      </c>
    </row>
    <row r="9" spans="1:35">
      <c r="A9" s="8" t="s">
        <v>57</v>
      </c>
      <c r="B9" s="16" t="s">
        <v>56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AI9" s="5">
        <v>15398.373392592592</v>
      </c>
    </row>
    <row r="10" spans="1:35">
      <c r="A10" s="6" t="s">
        <v>58</v>
      </c>
      <c r="B10" s="6" t="s">
        <v>5</v>
      </c>
      <c r="C10" s="79">
        <f t="shared" ref="C10:AH10" si="0">IFERROR(C8/C9,0)</f>
        <v>0</v>
      </c>
      <c r="D10" s="79">
        <f t="shared" si="0"/>
        <v>0</v>
      </c>
      <c r="E10" s="79">
        <f t="shared" si="0"/>
        <v>0</v>
      </c>
      <c r="F10" s="79">
        <f t="shared" si="0"/>
        <v>0</v>
      </c>
      <c r="G10" s="79">
        <f t="shared" si="0"/>
        <v>0</v>
      </c>
      <c r="H10" s="79">
        <f t="shared" si="0"/>
        <v>0</v>
      </c>
      <c r="I10" s="79">
        <f t="shared" si="0"/>
        <v>0</v>
      </c>
      <c r="J10" s="79">
        <f t="shared" si="0"/>
        <v>0</v>
      </c>
      <c r="K10" s="79">
        <f t="shared" si="0"/>
        <v>0</v>
      </c>
      <c r="L10" s="79">
        <f t="shared" si="0"/>
        <v>0</v>
      </c>
      <c r="M10" s="79">
        <f t="shared" si="0"/>
        <v>0</v>
      </c>
      <c r="N10" s="79">
        <f t="shared" si="0"/>
        <v>0</v>
      </c>
      <c r="O10" s="79">
        <f t="shared" si="0"/>
        <v>0</v>
      </c>
      <c r="P10" s="79">
        <f t="shared" si="0"/>
        <v>0</v>
      </c>
      <c r="Q10" s="79">
        <f t="shared" si="0"/>
        <v>0</v>
      </c>
      <c r="R10" s="79">
        <f t="shared" si="0"/>
        <v>0</v>
      </c>
      <c r="S10" s="79">
        <f t="shared" si="0"/>
        <v>0</v>
      </c>
      <c r="T10" s="79">
        <f t="shared" si="0"/>
        <v>0</v>
      </c>
      <c r="U10" s="79">
        <f t="shared" si="0"/>
        <v>0</v>
      </c>
      <c r="V10" s="79">
        <f t="shared" si="0"/>
        <v>0</v>
      </c>
      <c r="W10" s="79">
        <f t="shared" si="0"/>
        <v>0</v>
      </c>
      <c r="X10" s="79">
        <f t="shared" si="0"/>
        <v>0</v>
      </c>
      <c r="Y10" s="79">
        <f t="shared" si="0"/>
        <v>0</v>
      </c>
      <c r="Z10" s="79">
        <f t="shared" si="0"/>
        <v>0</v>
      </c>
      <c r="AA10" s="79">
        <f t="shared" si="0"/>
        <v>0</v>
      </c>
      <c r="AB10" s="79">
        <f t="shared" si="0"/>
        <v>0</v>
      </c>
      <c r="AC10" s="79">
        <f t="shared" si="0"/>
        <v>0</v>
      </c>
      <c r="AD10" s="79">
        <f t="shared" si="0"/>
        <v>0</v>
      </c>
      <c r="AE10" s="79">
        <f t="shared" si="0"/>
        <v>0</v>
      </c>
      <c r="AF10" s="79">
        <f t="shared" si="0"/>
        <v>0</v>
      </c>
      <c r="AG10" s="79">
        <f t="shared" si="0"/>
        <v>0</v>
      </c>
      <c r="AH10" s="79">
        <f t="shared" si="0"/>
        <v>0</v>
      </c>
      <c r="AI10" s="79">
        <f>IFERROR(AI8/AI9,0)</f>
        <v>0.13413742454080316</v>
      </c>
    </row>
    <row r="11" spans="1:35">
      <c r="A11" s="8"/>
      <c r="B11" s="1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22"/>
      <c r="R11" s="22"/>
      <c r="S11" s="22"/>
      <c r="T11" s="22"/>
      <c r="AD11" s="34"/>
      <c r="AE11" s="34"/>
      <c r="AF11" s="34"/>
      <c r="AG11" s="34"/>
      <c r="AH11" s="34"/>
      <c r="AI11" s="5"/>
    </row>
    <row r="12" spans="1:35">
      <c r="A12" s="6" t="s">
        <v>82</v>
      </c>
      <c r="B12" s="6" t="s">
        <v>59</v>
      </c>
      <c r="C12" s="26">
        <f t="shared" ref="C12" si="1">IFERROR(C44/C8*1000,0)</f>
        <v>0</v>
      </c>
      <c r="D12" s="26">
        <f t="shared" ref="D12:AH12" si="2">IFERROR(D44/D8*1000,0)</f>
        <v>0</v>
      </c>
      <c r="E12" s="26">
        <f t="shared" si="2"/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26">
        <f t="shared" si="2"/>
        <v>0</v>
      </c>
      <c r="Q12" s="26">
        <f t="shared" si="2"/>
        <v>0</v>
      </c>
      <c r="R12" s="26">
        <f t="shared" si="2"/>
        <v>0</v>
      </c>
      <c r="S12" s="26">
        <f t="shared" si="2"/>
        <v>0</v>
      </c>
      <c r="T12" s="26">
        <f t="shared" si="2"/>
        <v>0</v>
      </c>
      <c r="U12" s="26">
        <f t="shared" si="2"/>
        <v>0</v>
      </c>
      <c r="V12" s="26">
        <f t="shared" si="2"/>
        <v>0</v>
      </c>
      <c r="W12" s="26">
        <f t="shared" si="2"/>
        <v>0</v>
      </c>
      <c r="X12" s="26">
        <f t="shared" si="2"/>
        <v>0</v>
      </c>
      <c r="Y12" s="26">
        <f t="shared" si="2"/>
        <v>0</v>
      </c>
      <c r="Z12" s="26">
        <f t="shared" si="2"/>
        <v>0</v>
      </c>
      <c r="AA12" s="26">
        <f t="shared" si="2"/>
        <v>0</v>
      </c>
      <c r="AB12" s="26">
        <f t="shared" si="2"/>
        <v>0</v>
      </c>
      <c r="AC12" s="26">
        <f t="shared" si="2"/>
        <v>0</v>
      </c>
      <c r="AD12" s="26">
        <f t="shared" si="2"/>
        <v>0</v>
      </c>
      <c r="AE12" s="26">
        <f t="shared" si="2"/>
        <v>0</v>
      </c>
      <c r="AF12" s="26">
        <f t="shared" si="2"/>
        <v>0</v>
      </c>
      <c r="AG12" s="26">
        <f t="shared" si="2"/>
        <v>0</v>
      </c>
      <c r="AH12" s="26">
        <f t="shared" si="2"/>
        <v>0</v>
      </c>
      <c r="AI12" s="26">
        <f>IFERROR(AI44/AI8,0)</f>
        <v>428.48452826185513</v>
      </c>
    </row>
    <row r="13" spans="1:35">
      <c r="A13" s="16"/>
      <c r="B13" s="1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AD13" s="34"/>
      <c r="AE13" s="34"/>
      <c r="AF13" s="34"/>
      <c r="AG13" s="50"/>
      <c r="AH13" s="50"/>
      <c r="AI13" s="5"/>
    </row>
    <row r="14" spans="1:35">
      <c r="A14" s="16" t="s">
        <v>61</v>
      </c>
      <c r="B14" s="30" t="s">
        <v>4</v>
      </c>
      <c r="C14" s="5">
        <f t="shared" ref="C14" si="3">SUM(C49:C50)</f>
        <v>0</v>
      </c>
      <c r="D14" s="5">
        <f t="shared" ref="D14:AH14" si="4">SUM(D49:D50)</f>
        <v>0</v>
      </c>
      <c r="E14" s="5">
        <f t="shared" si="4"/>
        <v>0</v>
      </c>
      <c r="F14" s="5">
        <f t="shared" si="4"/>
        <v>0</v>
      </c>
      <c r="G14" s="5">
        <f t="shared" si="4"/>
        <v>0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0</v>
      </c>
      <c r="M14" s="5">
        <f t="shared" si="4"/>
        <v>0</v>
      </c>
      <c r="N14" s="5">
        <f t="shared" si="4"/>
        <v>0</v>
      </c>
      <c r="O14" s="5">
        <f t="shared" si="4"/>
        <v>0</v>
      </c>
      <c r="P14" s="5">
        <f t="shared" si="4"/>
        <v>0</v>
      </c>
      <c r="Q14" s="5">
        <f t="shared" si="4"/>
        <v>0</v>
      </c>
      <c r="R14" s="5">
        <f t="shared" si="4"/>
        <v>0</v>
      </c>
      <c r="S14" s="5">
        <f t="shared" si="4"/>
        <v>0</v>
      </c>
      <c r="T14" s="5">
        <f t="shared" si="4"/>
        <v>0</v>
      </c>
      <c r="U14" s="5">
        <f t="shared" si="4"/>
        <v>0</v>
      </c>
      <c r="V14" s="5">
        <f t="shared" si="4"/>
        <v>0</v>
      </c>
      <c r="W14" s="5">
        <f t="shared" si="4"/>
        <v>0</v>
      </c>
      <c r="X14" s="5">
        <f t="shared" si="4"/>
        <v>0</v>
      </c>
      <c r="Y14" s="5">
        <f t="shared" si="4"/>
        <v>0</v>
      </c>
      <c r="Z14" s="5">
        <f t="shared" si="4"/>
        <v>0</v>
      </c>
      <c r="AA14" s="5">
        <f t="shared" si="4"/>
        <v>0</v>
      </c>
      <c r="AB14" s="5">
        <f t="shared" si="4"/>
        <v>0</v>
      </c>
      <c r="AC14" s="5">
        <f t="shared" si="4"/>
        <v>0</v>
      </c>
      <c r="AD14" s="5">
        <f t="shared" si="4"/>
        <v>0</v>
      </c>
      <c r="AE14" s="5">
        <f t="shared" si="4"/>
        <v>0</v>
      </c>
      <c r="AF14" s="5">
        <f t="shared" si="4"/>
        <v>0</v>
      </c>
      <c r="AG14" s="5">
        <f t="shared" si="4"/>
        <v>0</v>
      </c>
      <c r="AH14" s="5">
        <f t="shared" si="4"/>
        <v>0</v>
      </c>
      <c r="AI14" s="5">
        <f>SUM(AI49:AI50)</f>
        <v>-414978</v>
      </c>
    </row>
    <row r="15" spans="1:35">
      <c r="A15" s="16" t="s">
        <v>164</v>
      </c>
      <c r="B15" s="16" t="s">
        <v>59</v>
      </c>
      <c r="C15" s="5">
        <f>IFERROR(C14/C$8,0)</f>
        <v>0</v>
      </c>
      <c r="D15" s="5">
        <f t="shared" ref="D15:AI15" si="5">IFERROR(D14/D$8,0)</f>
        <v>0</v>
      </c>
      <c r="E15" s="5">
        <f t="shared" si="5"/>
        <v>0</v>
      </c>
      <c r="F15" s="5">
        <f t="shared" si="5"/>
        <v>0</v>
      </c>
      <c r="G15" s="5">
        <f t="shared" si="5"/>
        <v>0</v>
      </c>
      <c r="H15" s="5">
        <f t="shared" si="5"/>
        <v>0</v>
      </c>
      <c r="I15" s="5">
        <f t="shared" si="5"/>
        <v>0</v>
      </c>
      <c r="J15" s="5">
        <f t="shared" si="5"/>
        <v>0</v>
      </c>
      <c r="K15" s="5">
        <f t="shared" si="5"/>
        <v>0</v>
      </c>
      <c r="L15" s="5">
        <f t="shared" si="5"/>
        <v>0</v>
      </c>
      <c r="M15" s="5">
        <f t="shared" si="5"/>
        <v>0</v>
      </c>
      <c r="N15" s="5">
        <f t="shared" si="5"/>
        <v>0</v>
      </c>
      <c r="O15" s="5">
        <f t="shared" si="5"/>
        <v>0</v>
      </c>
      <c r="P15" s="5">
        <f t="shared" si="5"/>
        <v>0</v>
      </c>
      <c r="Q15" s="5">
        <f t="shared" si="5"/>
        <v>0</v>
      </c>
      <c r="R15" s="5">
        <f t="shared" si="5"/>
        <v>0</v>
      </c>
      <c r="S15" s="5">
        <f t="shared" si="5"/>
        <v>0</v>
      </c>
      <c r="T15" s="5">
        <f t="shared" si="5"/>
        <v>0</v>
      </c>
      <c r="U15" s="5">
        <f t="shared" si="5"/>
        <v>0</v>
      </c>
      <c r="V15" s="5">
        <f t="shared" si="5"/>
        <v>0</v>
      </c>
      <c r="W15" s="5">
        <f t="shared" si="5"/>
        <v>0</v>
      </c>
      <c r="X15" s="5">
        <f t="shared" si="5"/>
        <v>0</v>
      </c>
      <c r="Y15" s="5">
        <f t="shared" si="5"/>
        <v>0</v>
      </c>
      <c r="Z15" s="5">
        <f t="shared" si="5"/>
        <v>0</v>
      </c>
      <c r="AA15" s="5">
        <f t="shared" si="5"/>
        <v>0</v>
      </c>
      <c r="AB15" s="5">
        <f t="shared" si="5"/>
        <v>0</v>
      </c>
      <c r="AC15" s="5">
        <f t="shared" si="5"/>
        <v>0</v>
      </c>
      <c r="AD15" s="5">
        <f t="shared" si="5"/>
        <v>0</v>
      </c>
      <c r="AE15" s="5">
        <f t="shared" si="5"/>
        <v>0</v>
      </c>
      <c r="AF15" s="5">
        <f t="shared" si="5"/>
        <v>0</v>
      </c>
      <c r="AG15" s="5">
        <f t="shared" si="5"/>
        <v>0</v>
      </c>
      <c r="AH15" s="5">
        <f t="shared" si="5"/>
        <v>0</v>
      </c>
      <c r="AI15" s="5">
        <f t="shared" si="5"/>
        <v>-200.90940299361168</v>
      </c>
    </row>
    <row r="16" spans="1:35">
      <c r="A16" s="6" t="s">
        <v>165</v>
      </c>
      <c r="B16" s="29" t="s">
        <v>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>
        <v>-328735.52016660798</v>
      </c>
    </row>
    <row r="17" spans="1:44">
      <c r="A17" s="6" t="s">
        <v>166</v>
      </c>
      <c r="B17" s="6" t="s">
        <v>59</v>
      </c>
      <c r="C17" s="5">
        <f>IFERROR(C16/C$8,0)</f>
        <v>0</v>
      </c>
      <c r="D17" s="5">
        <f t="shared" ref="D17" si="6">IFERROR(D16/D$8,0)</f>
        <v>0</v>
      </c>
      <c r="E17" s="5">
        <f t="shared" ref="E17" si="7">IFERROR(E16/E$8,0)</f>
        <v>0</v>
      </c>
      <c r="F17" s="5">
        <f t="shared" ref="F17" si="8">IFERROR(F16/F$8,0)</f>
        <v>0</v>
      </c>
      <c r="G17" s="5">
        <f t="shared" ref="G17" si="9">IFERROR(G16/G$8,0)</f>
        <v>0</v>
      </c>
      <c r="H17" s="5">
        <f t="shared" ref="H17" si="10">IFERROR(H16/H$8,0)</f>
        <v>0</v>
      </c>
      <c r="I17" s="5">
        <f t="shared" ref="I17" si="11">IFERROR(I16/I$8,0)</f>
        <v>0</v>
      </c>
      <c r="J17" s="5">
        <f t="shared" ref="J17" si="12">IFERROR(J16/J$8,0)</f>
        <v>0</v>
      </c>
      <c r="K17" s="5">
        <f t="shared" ref="K17" si="13">IFERROR(K16/K$8,0)</f>
        <v>0</v>
      </c>
      <c r="L17" s="5">
        <f t="shared" ref="L17" si="14">IFERROR(L16/L$8,0)</f>
        <v>0</v>
      </c>
      <c r="M17" s="5">
        <f t="shared" ref="M17" si="15">IFERROR(M16/M$8,0)</f>
        <v>0</v>
      </c>
      <c r="N17" s="5">
        <f t="shared" ref="N17" si="16">IFERROR(N16/N$8,0)</f>
        <v>0</v>
      </c>
      <c r="O17" s="5">
        <f t="shared" ref="O17" si="17">IFERROR(O16/O$8,0)</f>
        <v>0</v>
      </c>
      <c r="P17" s="5">
        <f t="shared" ref="P17" si="18">IFERROR(P16/P$8,0)</f>
        <v>0</v>
      </c>
      <c r="Q17" s="5">
        <f t="shared" ref="Q17" si="19">IFERROR(Q16/Q$8,0)</f>
        <v>0</v>
      </c>
      <c r="R17" s="5">
        <f t="shared" ref="R17" si="20">IFERROR(R16/R$8,0)</f>
        <v>0</v>
      </c>
      <c r="S17" s="5">
        <f t="shared" ref="S17" si="21">IFERROR(S16/S$8,0)</f>
        <v>0</v>
      </c>
      <c r="T17" s="5">
        <f t="shared" ref="T17" si="22">IFERROR(T16/T$8,0)</f>
        <v>0</v>
      </c>
      <c r="U17" s="5">
        <f t="shared" ref="U17" si="23">IFERROR(U16/U$8,0)</f>
        <v>0</v>
      </c>
      <c r="V17" s="5">
        <f t="shared" ref="V17" si="24">IFERROR(V16/V$8,0)</f>
        <v>0</v>
      </c>
      <c r="W17" s="5">
        <f t="shared" ref="W17" si="25">IFERROR(W16/W$8,0)</f>
        <v>0</v>
      </c>
      <c r="X17" s="5">
        <f t="shared" ref="X17" si="26">IFERROR(X16/X$8,0)</f>
        <v>0</v>
      </c>
      <c r="Y17" s="5">
        <f t="shared" ref="Y17" si="27">IFERROR(Y16/Y$8,0)</f>
        <v>0</v>
      </c>
      <c r="Z17" s="5">
        <f t="shared" ref="Z17" si="28">IFERROR(Z16/Z$8,0)</f>
        <v>0</v>
      </c>
      <c r="AA17" s="5">
        <f t="shared" ref="AA17" si="29">IFERROR(AA16/AA$8,0)</f>
        <v>0</v>
      </c>
      <c r="AB17" s="5">
        <f t="shared" ref="AB17" si="30">IFERROR(AB16/AB$8,0)</f>
        <v>0</v>
      </c>
      <c r="AC17" s="5">
        <f t="shared" ref="AC17" si="31">IFERROR(AC16/AC$8,0)</f>
        <v>0</v>
      </c>
      <c r="AD17" s="5">
        <f t="shared" ref="AD17" si="32">IFERROR(AD16/AD$8,0)</f>
        <v>0</v>
      </c>
      <c r="AE17" s="5">
        <f t="shared" ref="AE17" si="33">IFERROR(AE16/AE$8,0)</f>
        <v>0</v>
      </c>
      <c r="AF17" s="5">
        <f t="shared" ref="AF17" si="34">IFERROR(AF16/AF$8,0)</f>
        <v>0</v>
      </c>
      <c r="AG17" s="5">
        <f t="shared" ref="AG17" si="35">IFERROR(AG16/AG$8,0)</f>
        <v>0</v>
      </c>
      <c r="AH17" s="5">
        <f t="shared" ref="AH17" si="36">IFERROR(AH16/AH$8,0)</f>
        <v>0</v>
      </c>
      <c r="AI17" s="5">
        <f t="shared" ref="AI17" si="37">IFERROR(AI16/AI$8,0)</f>
        <v>-159.15556270324598</v>
      </c>
    </row>
    <row r="18" spans="1:44">
      <c r="A18" s="6" t="s">
        <v>167</v>
      </c>
      <c r="B18" s="29" t="s">
        <v>4</v>
      </c>
      <c r="C18" s="7">
        <f>C48+C16</f>
        <v>0</v>
      </c>
      <c r="D18" s="7">
        <f t="shared" ref="D18:AI18" si="38">D48+D16</f>
        <v>0</v>
      </c>
      <c r="E18" s="7">
        <f t="shared" si="38"/>
        <v>0</v>
      </c>
      <c r="F18" s="7">
        <f t="shared" si="38"/>
        <v>0</v>
      </c>
      <c r="G18" s="7">
        <f t="shared" si="38"/>
        <v>0</v>
      </c>
      <c r="H18" s="7">
        <f t="shared" si="38"/>
        <v>0</v>
      </c>
      <c r="I18" s="7">
        <f t="shared" si="38"/>
        <v>0</v>
      </c>
      <c r="J18" s="7">
        <f t="shared" si="38"/>
        <v>0</v>
      </c>
      <c r="K18" s="7">
        <f t="shared" si="38"/>
        <v>0</v>
      </c>
      <c r="L18" s="7">
        <f t="shared" si="38"/>
        <v>0</v>
      </c>
      <c r="M18" s="7">
        <f t="shared" si="38"/>
        <v>0</v>
      </c>
      <c r="N18" s="7">
        <f t="shared" si="38"/>
        <v>0</v>
      </c>
      <c r="O18" s="7">
        <f t="shared" si="38"/>
        <v>0</v>
      </c>
      <c r="P18" s="7">
        <f t="shared" si="38"/>
        <v>0</v>
      </c>
      <c r="Q18" s="7">
        <f t="shared" si="38"/>
        <v>0</v>
      </c>
      <c r="R18" s="7">
        <f t="shared" si="38"/>
        <v>0</v>
      </c>
      <c r="S18" s="7">
        <f t="shared" si="38"/>
        <v>0</v>
      </c>
      <c r="T18" s="7">
        <f t="shared" si="38"/>
        <v>0</v>
      </c>
      <c r="U18" s="7">
        <f t="shared" si="38"/>
        <v>0</v>
      </c>
      <c r="V18" s="7">
        <f t="shared" si="38"/>
        <v>0</v>
      </c>
      <c r="W18" s="7">
        <f t="shared" si="38"/>
        <v>0</v>
      </c>
      <c r="X18" s="7">
        <f t="shared" si="38"/>
        <v>0</v>
      </c>
      <c r="Y18" s="7">
        <f t="shared" si="38"/>
        <v>0</v>
      </c>
      <c r="Z18" s="7">
        <f t="shared" si="38"/>
        <v>0</v>
      </c>
      <c r="AA18" s="7">
        <f t="shared" si="38"/>
        <v>0</v>
      </c>
      <c r="AB18" s="7">
        <f t="shared" si="38"/>
        <v>0</v>
      </c>
      <c r="AC18" s="7">
        <f t="shared" si="38"/>
        <v>0</v>
      </c>
      <c r="AD18" s="7">
        <f t="shared" si="38"/>
        <v>0</v>
      </c>
      <c r="AE18" s="7">
        <f t="shared" si="38"/>
        <v>0</v>
      </c>
      <c r="AF18" s="7">
        <f t="shared" si="38"/>
        <v>0</v>
      </c>
      <c r="AG18" s="7">
        <f t="shared" si="38"/>
        <v>0</v>
      </c>
      <c r="AH18" s="7">
        <f t="shared" si="38"/>
        <v>0</v>
      </c>
      <c r="AI18" s="7">
        <f t="shared" si="38"/>
        <v>365310.47983339202</v>
      </c>
    </row>
    <row r="19" spans="1:44">
      <c r="A19" s="10" t="s">
        <v>68</v>
      </c>
      <c r="B19" s="27" t="s">
        <v>5</v>
      </c>
      <c r="C19" s="27">
        <f t="shared" ref="C19:AH19" si="39">IFERROR(C16/C48,0)</f>
        <v>0</v>
      </c>
      <c r="D19" s="27">
        <f t="shared" si="39"/>
        <v>0</v>
      </c>
      <c r="E19" s="27">
        <f t="shared" si="39"/>
        <v>0</v>
      </c>
      <c r="F19" s="27">
        <f t="shared" si="39"/>
        <v>0</v>
      </c>
      <c r="G19" s="27">
        <f t="shared" si="39"/>
        <v>0</v>
      </c>
      <c r="H19" s="27">
        <f t="shared" si="39"/>
        <v>0</v>
      </c>
      <c r="I19" s="27">
        <f t="shared" si="39"/>
        <v>0</v>
      </c>
      <c r="J19" s="27">
        <f t="shared" si="39"/>
        <v>0</v>
      </c>
      <c r="K19" s="27">
        <f t="shared" si="39"/>
        <v>0</v>
      </c>
      <c r="L19" s="27">
        <f t="shared" si="39"/>
        <v>0</v>
      </c>
      <c r="M19" s="27">
        <f t="shared" si="39"/>
        <v>0</v>
      </c>
      <c r="N19" s="27">
        <f t="shared" si="39"/>
        <v>0</v>
      </c>
      <c r="O19" s="27">
        <f t="shared" si="39"/>
        <v>0</v>
      </c>
      <c r="P19" s="27">
        <f t="shared" si="39"/>
        <v>0</v>
      </c>
      <c r="Q19" s="27">
        <f t="shared" si="39"/>
        <v>0</v>
      </c>
      <c r="R19" s="27">
        <f t="shared" si="39"/>
        <v>0</v>
      </c>
      <c r="S19" s="27">
        <f t="shared" si="39"/>
        <v>0</v>
      </c>
      <c r="T19" s="27">
        <f t="shared" si="39"/>
        <v>0</v>
      </c>
      <c r="U19" s="27">
        <f t="shared" si="39"/>
        <v>0</v>
      </c>
      <c r="V19" s="27">
        <f t="shared" si="39"/>
        <v>0</v>
      </c>
      <c r="W19" s="27">
        <f t="shared" si="39"/>
        <v>0</v>
      </c>
      <c r="X19" s="27">
        <f t="shared" si="39"/>
        <v>0</v>
      </c>
      <c r="Y19" s="27">
        <f t="shared" si="39"/>
        <v>0</v>
      </c>
      <c r="Z19" s="27">
        <f t="shared" si="39"/>
        <v>0</v>
      </c>
      <c r="AA19" s="27">
        <f t="shared" si="39"/>
        <v>0</v>
      </c>
      <c r="AB19" s="27">
        <f t="shared" si="39"/>
        <v>0</v>
      </c>
      <c r="AC19" s="27">
        <f t="shared" si="39"/>
        <v>0</v>
      </c>
      <c r="AD19" s="27">
        <f t="shared" si="39"/>
        <v>0</v>
      </c>
      <c r="AE19" s="27">
        <f t="shared" si="39"/>
        <v>0</v>
      </c>
      <c r="AF19" s="27">
        <f t="shared" si="39"/>
        <v>0</v>
      </c>
      <c r="AG19" s="27">
        <f t="shared" si="39"/>
        <v>0</v>
      </c>
      <c r="AH19" s="27">
        <f t="shared" si="39"/>
        <v>0</v>
      </c>
      <c r="AI19" s="27">
        <f>IFERROR(AI16/AI48,0)</f>
        <v>-0.47365091098660317</v>
      </c>
    </row>
    <row r="20" spans="1:44">
      <c r="A20" s="10"/>
      <c r="B20" s="2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AD20" s="34"/>
      <c r="AE20" s="34"/>
      <c r="AF20" s="34"/>
      <c r="AG20" s="50"/>
      <c r="AH20" s="50"/>
      <c r="AI20" s="5"/>
    </row>
    <row r="21" spans="1:44">
      <c r="A21" s="6" t="s">
        <v>67</v>
      </c>
      <c r="B21" s="29" t="s">
        <v>4</v>
      </c>
      <c r="C21" s="7">
        <f t="shared" ref="C21" si="40">SUM(C54:C55)</f>
        <v>0</v>
      </c>
      <c r="D21" s="7">
        <f t="shared" ref="D21:AH21" si="41">SUM(D54:D55)</f>
        <v>0</v>
      </c>
      <c r="E21" s="7">
        <f t="shared" si="41"/>
        <v>0</v>
      </c>
      <c r="F21" s="7">
        <f t="shared" si="41"/>
        <v>0</v>
      </c>
      <c r="G21" s="7">
        <f t="shared" si="41"/>
        <v>0</v>
      </c>
      <c r="H21" s="7">
        <f t="shared" si="41"/>
        <v>0</v>
      </c>
      <c r="I21" s="7">
        <f t="shared" si="41"/>
        <v>0</v>
      </c>
      <c r="J21" s="7">
        <f t="shared" si="41"/>
        <v>0</v>
      </c>
      <c r="K21" s="7">
        <f t="shared" si="41"/>
        <v>0</v>
      </c>
      <c r="L21" s="7">
        <f t="shared" si="41"/>
        <v>0</v>
      </c>
      <c r="M21" s="7">
        <f t="shared" si="41"/>
        <v>0</v>
      </c>
      <c r="N21" s="7">
        <f t="shared" si="41"/>
        <v>0</v>
      </c>
      <c r="O21" s="7">
        <f t="shared" si="41"/>
        <v>0</v>
      </c>
      <c r="P21" s="7">
        <f t="shared" si="41"/>
        <v>0</v>
      </c>
      <c r="Q21" s="7">
        <f t="shared" si="41"/>
        <v>0</v>
      </c>
      <c r="R21" s="7">
        <f t="shared" si="41"/>
        <v>0</v>
      </c>
      <c r="S21" s="7">
        <f t="shared" si="41"/>
        <v>0</v>
      </c>
      <c r="T21" s="7">
        <f t="shared" si="41"/>
        <v>0</v>
      </c>
      <c r="U21" s="7">
        <f t="shared" si="41"/>
        <v>0</v>
      </c>
      <c r="V21" s="7">
        <f t="shared" si="41"/>
        <v>0</v>
      </c>
      <c r="W21" s="7">
        <f t="shared" si="41"/>
        <v>0</v>
      </c>
      <c r="X21" s="7">
        <f t="shared" si="41"/>
        <v>0</v>
      </c>
      <c r="Y21" s="7">
        <f t="shared" si="41"/>
        <v>0</v>
      </c>
      <c r="Z21" s="7">
        <f t="shared" si="41"/>
        <v>0</v>
      </c>
      <c r="AA21" s="7">
        <f t="shared" si="41"/>
        <v>0</v>
      </c>
      <c r="AB21" s="7">
        <f t="shared" si="41"/>
        <v>0</v>
      </c>
      <c r="AC21" s="7">
        <f t="shared" si="41"/>
        <v>0</v>
      </c>
      <c r="AD21" s="7">
        <f t="shared" si="41"/>
        <v>0</v>
      </c>
      <c r="AE21" s="7">
        <f t="shared" si="41"/>
        <v>0</v>
      </c>
      <c r="AF21" s="7">
        <f t="shared" si="41"/>
        <v>0</v>
      </c>
      <c r="AG21" s="7">
        <f t="shared" si="41"/>
        <v>0</v>
      </c>
      <c r="AH21" s="7">
        <f t="shared" si="41"/>
        <v>0</v>
      </c>
      <c r="AI21" s="7">
        <f>SUM(AI54:AI55)</f>
        <v>-51157</v>
      </c>
    </row>
    <row r="22" spans="1:44">
      <c r="A22" s="10" t="s">
        <v>70</v>
      </c>
      <c r="B22" s="16" t="s">
        <v>5</v>
      </c>
      <c r="C22" s="27">
        <f t="shared" ref="C22:AH22" si="42">IFERROR(C21/$C$48,0)</f>
        <v>0</v>
      </c>
      <c r="D22" s="27">
        <f t="shared" si="42"/>
        <v>0</v>
      </c>
      <c r="E22" s="27">
        <f t="shared" si="42"/>
        <v>0</v>
      </c>
      <c r="F22" s="27">
        <f t="shared" si="42"/>
        <v>0</v>
      </c>
      <c r="G22" s="27">
        <f t="shared" si="42"/>
        <v>0</v>
      </c>
      <c r="H22" s="27">
        <f t="shared" si="42"/>
        <v>0</v>
      </c>
      <c r="I22" s="27">
        <f t="shared" si="42"/>
        <v>0</v>
      </c>
      <c r="J22" s="27">
        <f t="shared" si="42"/>
        <v>0</v>
      </c>
      <c r="K22" s="27">
        <f t="shared" si="42"/>
        <v>0</v>
      </c>
      <c r="L22" s="27">
        <f t="shared" si="42"/>
        <v>0</v>
      </c>
      <c r="M22" s="27">
        <f t="shared" si="42"/>
        <v>0</v>
      </c>
      <c r="N22" s="27">
        <f t="shared" si="42"/>
        <v>0</v>
      </c>
      <c r="O22" s="27">
        <f t="shared" si="42"/>
        <v>0</v>
      </c>
      <c r="P22" s="27">
        <f t="shared" si="42"/>
        <v>0</v>
      </c>
      <c r="Q22" s="27">
        <f t="shared" si="42"/>
        <v>0</v>
      </c>
      <c r="R22" s="27">
        <f t="shared" si="42"/>
        <v>0</v>
      </c>
      <c r="S22" s="27">
        <f t="shared" si="42"/>
        <v>0</v>
      </c>
      <c r="T22" s="27">
        <f t="shared" si="42"/>
        <v>0</v>
      </c>
      <c r="U22" s="27">
        <f t="shared" si="42"/>
        <v>0</v>
      </c>
      <c r="V22" s="27">
        <f t="shared" si="42"/>
        <v>0</v>
      </c>
      <c r="W22" s="27">
        <f t="shared" si="42"/>
        <v>0</v>
      </c>
      <c r="X22" s="27">
        <f t="shared" si="42"/>
        <v>0</v>
      </c>
      <c r="Y22" s="27">
        <f t="shared" si="42"/>
        <v>0</v>
      </c>
      <c r="Z22" s="27">
        <f t="shared" si="42"/>
        <v>0</v>
      </c>
      <c r="AA22" s="27">
        <f t="shared" si="42"/>
        <v>0</v>
      </c>
      <c r="AB22" s="27">
        <f t="shared" si="42"/>
        <v>0</v>
      </c>
      <c r="AC22" s="27">
        <f t="shared" si="42"/>
        <v>0</v>
      </c>
      <c r="AD22" s="27">
        <f t="shared" si="42"/>
        <v>0</v>
      </c>
      <c r="AE22" s="27">
        <f t="shared" si="42"/>
        <v>0</v>
      </c>
      <c r="AF22" s="27">
        <f t="shared" si="42"/>
        <v>0</v>
      </c>
      <c r="AG22" s="27">
        <f t="shared" si="42"/>
        <v>0</v>
      </c>
      <c r="AH22" s="27">
        <f t="shared" si="42"/>
        <v>0</v>
      </c>
      <c r="AI22" s="95">
        <f>IFERROR(AI21/$C$48,0)</f>
        <v>0</v>
      </c>
    </row>
    <row r="23" spans="1:44">
      <c r="A23" s="6" t="s">
        <v>69</v>
      </c>
      <c r="B23" s="29" t="s">
        <v>4</v>
      </c>
      <c r="C23" s="7">
        <f t="shared" ref="C23" si="43">C54</f>
        <v>0</v>
      </c>
      <c r="D23" s="7">
        <f t="shared" ref="D23:AH23" si="44">D54</f>
        <v>0</v>
      </c>
      <c r="E23" s="7">
        <f t="shared" si="44"/>
        <v>0</v>
      </c>
      <c r="F23" s="7">
        <f t="shared" si="44"/>
        <v>0</v>
      </c>
      <c r="G23" s="7">
        <f t="shared" si="44"/>
        <v>0</v>
      </c>
      <c r="H23" s="7">
        <f t="shared" si="44"/>
        <v>0</v>
      </c>
      <c r="I23" s="7">
        <f t="shared" si="44"/>
        <v>0</v>
      </c>
      <c r="J23" s="7">
        <f t="shared" si="44"/>
        <v>0</v>
      </c>
      <c r="K23" s="7">
        <f t="shared" si="44"/>
        <v>0</v>
      </c>
      <c r="L23" s="7">
        <f t="shared" si="44"/>
        <v>0</v>
      </c>
      <c r="M23" s="7">
        <f t="shared" si="44"/>
        <v>0</v>
      </c>
      <c r="N23" s="7">
        <f t="shared" si="44"/>
        <v>0</v>
      </c>
      <c r="O23" s="7">
        <f t="shared" si="44"/>
        <v>0</v>
      </c>
      <c r="P23" s="7">
        <f t="shared" si="44"/>
        <v>0</v>
      </c>
      <c r="Q23" s="7">
        <f t="shared" si="44"/>
        <v>0</v>
      </c>
      <c r="R23" s="7">
        <f t="shared" si="44"/>
        <v>0</v>
      </c>
      <c r="S23" s="7">
        <f t="shared" si="44"/>
        <v>0</v>
      </c>
      <c r="T23" s="7">
        <f t="shared" si="44"/>
        <v>0</v>
      </c>
      <c r="U23" s="7">
        <f t="shared" si="44"/>
        <v>0</v>
      </c>
      <c r="V23" s="7">
        <f t="shared" si="44"/>
        <v>0</v>
      </c>
      <c r="W23" s="7">
        <f t="shared" si="44"/>
        <v>0</v>
      </c>
      <c r="X23" s="7">
        <f t="shared" si="44"/>
        <v>0</v>
      </c>
      <c r="Y23" s="7">
        <f t="shared" si="44"/>
        <v>0</v>
      </c>
      <c r="Z23" s="7">
        <f t="shared" si="44"/>
        <v>0</v>
      </c>
      <c r="AA23" s="7">
        <f t="shared" si="44"/>
        <v>0</v>
      </c>
      <c r="AB23" s="7">
        <f t="shared" si="44"/>
        <v>0</v>
      </c>
      <c r="AC23" s="7">
        <f t="shared" si="44"/>
        <v>0</v>
      </c>
      <c r="AD23" s="7">
        <f t="shared" si="44"/>
        <v>0</v>
      </c>
      <c r="AE23" s="7">
        <f t="shared" si="44"/>
        <v>0</v>
      </c>
      <c r="AF23" s="7">
        <f t="shared" si="44"/>
        <v>0</v>
      </c>
      <c r="AG23" s="7">
        <f t="shared" si="44"/>
        <v>0</v>
      </c>
      <c r="AH23" s="7">
        <f t="shared" si="44"/>
        <v>0</v>
      </c>
      <c r="AI23" s="7">
        <f>AI54</f>
        <v>-51157</v>
      </c>
    </row>
    <row r="24" spans="1:44">
      <c r="A24" s="10" t="s">
        <v>70</v>
      </c>
      <c r="B24" s="16" t="s">
        <v>5</v>
      </c>
      <c r="C24" s="27">
        <f t="shared" ref="C24:AH24" si="45">IFERROR(C23/$C$48,0)</f>
        <v>0</v>
      </c>
      <c r="D24" s="27">
        <f t="shared" si="45"/>
        <v>0</v>
      </c>
      <c r="E24" s="27">
        <f t="shared" si="45"/>
        <v>0</v>
      </c>
      <c r="F24" s="27">
        <f t="shared" si="45"/>
        <v>0</v>
      </c>
      <c r="G24" s="27">
        <f t="shared" si="45"/>
        <v>0</v>
      </c>
      <c r="H24" s="27">
        <f t="shared" si="45"/>
        <v>0</v>
      </c>
      <c r="I24" s="27">
        <f t="shared" si="45"/>
        <v>0</v>
      </c>
      <c r="J24" s="27">
        <f t="shared" si="45"/>
        <v>0</v>
      </c>
      <c r="K24" s="27">
        <f t="shared" si="45"/>
        <v>0</v>
      </c>
      <c r="L24" s="27">
        <f t="shared" si="45"/>
        <v>0</v>
      </c>
      <c r="M24" s="27">
        <f t="shared" si="45"/>
        <v>0</v>
      </c>
      <c r="N24" s="27">
        <f t="shared" si="45"/>
        <v>0</v>
      </c>
      <c r="O24" s="27">
        <f t="shared" si="45"/>
        <v>0</v>
      </c>
      <c r="P24" s="27">
        <f t="shared" si="45"/>
        <v>0</v>
      </c>
      <c r="Q24" s="27">
        <f t="shared" si="45"/>
        <v>0</v>
      </c>
      <c r="R24" s="27">
        <f t="shared" si="45"/>
        <v>0</v>
      </c>
      <c r="S24" s="27">
        <f t="shared" si="45"/>
        <v>0</v>
      </c>
      <c r="T24" s="27">
        <f t="shared" si="45"/>
        <v>0</v>
      </c>
      <c r="U24" s="27">
        <f t="shared" si="45"/>
        <v>0</v>
      </c>
      <c r="V24" s="27">
        <f t="shared" si="45"/>
        <v>0</v>
      </c>
      <c r="W24" s="27">
        <f t="shared" si="45"/>
        <v>0</v>
      </c>
      <c r="X24" s="27">
        <f t="shared" si="45"/>
        <v>0</v>
      </c>
      <c r="Y24" s="27">
        <f t="shared" si="45"/>
        <v>0</v>
      </c>
      <c r="Z24" s="27">
        <f t="shared" si="45"/>
        <v>0</v>
      </c>
      <c r="AA24" s="27">
        <f t="shared" si="45"/>
        <v>0</v>
      </c>
      <c r="AB24" s="27">
        <f t="shared" si="45"/>
        <v>0</v>
      </c>
      <c r="AC24" s="27">
        <f t="shared" si="45"/>
        <v>0</v>
      </c>
      <c r="AD24" s="27">
        <f t="shared" si="45"/>
        <v>0</v>
      </c>
      <c r="AE24" s="27">
        <f t="shared" si="45"/>
        <v>0</v>
      </c>
      <c r="AF24" s="27">
        <f t="shared" si="45"/>
        <v>0</v>
      </c>
      <c r="AG24" s="27">
        <f t="shared" si="45"/>
        <v>0</v>
      </c>
      <c r="AH24" s="27">
        <f t="shared" si="45"/>
        <v>0</v>
      </c>
      <c r="AI24" s="27">
        <f>IFERROR(AI23/$C$48,0)</f>
        <v>0</v>
      </c>
    </row>
    <row r="25" spans="1:44">
      <c r="A25" s="16"/>
      <c r="B25" s="1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AD25" s="34"/>
      <c r="AE25" s="34"/>
      <c r="AF25" s="34"/>
      <c r="AG25" s="50"/>
      <c r="AH25" s="50"/>
      <c r="AI25" s="5"/>
    </row>
    <row r="26" spans="1:44">
      <c r="A26" s="16" t="s">
        <v>32</v>
      </c>
      <c r="B26" s="30" t="s">
        <v>4</v>
      </c>
      <c r="C26" s="80">
        <f t="shared" ref="C26" si="46">C48+C14+C21+C59</f>
        <v>0</v>
      </c>
      <c r="D26" s="80">
        <f t="shared" ref="D26:AH26" si="47">D48+D14+D21+D59</f>
        <v>0</v>
      </c>
      <c r="E26" s="80">
        <f t="shared" si="47"/>
        <v>0</v>
      </c>
      <c r="F26" s="80">
        <f t="shared" si="47"/>
        <v>0</v>
      </c>
      <c r="G26" s="80">
        <f t="shared" si="47"/>
        <v>0</v>
      </c>
      <c r="H26" s="80">
        <f t="shared" si="47"/>
        <v>0</v>
      </c>
      <c r="I26" s="80">
        <f t="shared" si="47"/>
        <v>0</v>
      </c>
      <c r="J26" s="80">
        <f t="shared" si="47"/>
        <v>0</v>
      </c>
      <c r="K26" s="80">
        <f t="shared" si="47"/>
        <v>0</v>
      </c>
      <c r="L26" s="80">
        <f t="shared" si="47"/>
        <v>0</v>
      </c>
      <c r="M26" s="80">
        <f t="shared" si="47"/>
        <v>0</v>
      </c>
      <c r="N26" s="80">
        <f t="shared" si="47"/>
        <v>0</v>
      </c>
      <c r="O26" s="80">
        <f t="shared" si="47"/>
        <v>0</v>
      </c>
      <c r="P26" s="80">
        <f t="shared" si="47"/>
        <v>0</v>
      </c>
      <c r="Q26" s="80">
        <f t="shared" si="47"/>
        <v>0</v>
      </c>
      <c r="R26" s="80">
        <f t="shared" si="47"/>
        <v>0</v>
      </c>
      <c r="S26" s="80">
        <f t="shared" si="47"/>
        <v>0</v>
      </c>
      <c r="T26" s="80">
        <f t="shared" si="47"/>
        <v>0</v>
      </c>
      <c r="U26" s="80">
        <f t="shared" si="47"/>
        <v>0</v>
      </c>
      <c r="V26" s="80">
        <f t="shared" si="47"/>
        <v>0</v>
      </c>
      <c r="W26" s="80">
        <f t="shared" si="47"/>
        <v>0</v>
      </c>
      <c r="X26" s="80">
        <f t="shared" si="47"/>
        <v>0</v>
      </c>
      <c r="Y26" s="80">
        <f t="shared" si="47"/>
        <v>0</v>
      </c>
      <c r="Z26" s="80">
        <f t="shared" si="47"/>
        <v>0</v>
      </c>
      <c r="AA26" s="80">
        <f t="shared" si="47"/>
        <v>0</v>
      </c>
      <c r="AB26" s="80">
        <f t="shared" si="47"/>
        <v>0</v>
      </c>
      <c r="AC26" s="80">
        <f t="shared" si="47"/>
        <v>0</v>
      </c>
      <c r="AD26" s="80">
        <f t="shared" si="47"/>
        <v>0</v>
      </c>
      <c r="AE26" s="80">
        <f t="shared" si="47"/>
        <v>0</v>
      </c>
      <c r="AF26" s="80">
        <f t="shared" si="47"/>
        <v>0</v>
      </c>
      <c r="AG26" s="80">
        <f t="shared" si="47"/>
        <v>0</v>
      </c>
      <c r="AH26" s="80">
        <f t="shared" si="47"/>
        <v>0</v>
      </c>
      <c r="AI26" s="80">
        <f>AI48+AI14+AI21+AI59</f>
        <v>248312</v>
      </c>
      <c r="AJ26" s="36"/>
      <c r="AK26" s="36"/>
      <c r="AL26" s="36"/>
      <c r="AM26" s="36"/>
      <c r="AN26" s="36"/>
    </row>
    <row r="27" spans="1:44">
      <c r="A27" s="10" t="s">
        <v>33</v>
      </c>
      <c r="B27" s="16" t="s">
        <v>5</v>
      </c>
      <c r="C27" s="81">
        <f t="shared" ref="C27:AH27" si="48">IFERROR(C26/C48,0)</f>
        <v>0</v>
      </c>
      <c r="D27" s="81">
        <f t="shared" si="48"/>
        <v>0</v>
      </c>
      <c r="E27" s="81">
        <f t="shared" si="48"/>
        <v>0</v>
      </c>
      <c r="F27" s="81">
        <f t="shared" si="48"/>
        <v>0</v>
      </c>
      <c r="G27" s="81">
        <f t="shared" si="48"/>
        <v>0</v>
      </c>
      <c r="H27" s="81">
        <f t="shared" si="48"/>
        <v>0</v>
      </c>
      <c r="I27" s="81">
        <f t="shared" si="48"/>
        <v>0</v>
      </c>
      <c r="J27" s="81">
        <f t="shared" si="48"/>
        <v>0</v>
      </c>
      <c r="K27" s="81">
        <f t="shared" si="48"/>
        <v>0</v>
      </c>
      <c r="L27" s="81">
        <f t="shared" si="48"/>
        <v>0</v>
      </c>
      <c r="M27" s="81">
        <f t="shared" si="48"/>
        <v>0</v>
      </c>
      <c r="N27" s="81">
        <f t="shared" si="48"/>
        <v>0</v>
      </c>
      <c r="O27" s="81">
        <f t="shared" si="48"/>
        <v>0</v>
      </c>
      <c r="P27" s="81">
        <f t="shared" si="48"/>
        <v>0</v>
      </c>
      <c r="Q27" s="81">
        <f t="shared" si="48"/>
        <v>0</v>
      </c>
      <c r="R27" s="81">
        <f t="shared" si="48"/>
        <v>0</v>
      </c>
      <c r="S27" s="81">
        <f t="shared" si="48"/>
        <v>0</v>
      </c>
      <c r="T27" s="81">
        <f t="shared" si="48"/>
        <v>0</v>
      </c>
      <c r="U27" s="81">
        <f t="shared" si="48"/>
        <v>0</v>
      </c>
      <c r="V27" s="81">
        <f t="shared" si="48"/>
        <v>0</v>
      </c>
      <c r="W27" s="81">
        <f t="shared" si="48"/>
        <v>0</v>
      </c>
      <c r="X27" s="81">
        <f t="shared" si="48"/>
        <v>0</v>
      </c>
      <c r="Y27" s="81">
        <f t="shared" si="48"/>
        <v>0</v>
      </c>
      <c r="Z27" s="81">
        <f t="shared" si="48"/>
        <v>0</v>
      </c>
      <c r="AA27" s="81">
        <f t="shared" si="48"/>
        <v>0</v>
      </c>
      <c r="AB27" s="81">
        <f t="shared" si="48"/>
        <v>0</v>
      </c>
      <c r="AC27" s="81">
        <f t="shared" si="48"/>
        <v>0</v>
      </c>
      <c r="AD27" s="81">
        <f t="shared" si="48"/>
        <v>0</v>
      </c>
      <c r="AE27" s="81">
        <f t="shared" si="48"/>
        <v>0</v>
      </c>
      <c r="AF27" s="81">
        <f t="shared" si="48"/>
        <v>0</v>
      </c>
      <c r="AG27" s="81">
        <f t="shared" si="48"/>
        <v>0</v>
      </c>
      <c r="AH27" s="81">
        <f t="shared" si="48"/>
        <v>0</v>
      </c>
      <c r="AI27" s="81">
        <f>IFERROR(AI26/$C$48,0)</f>
        <v>0</v>
      </c>
      <c r="AJ27" s="36"/>
      <c r="AK27" s="36"/>
      <c r="AL27" s="36"/>
      <c r="AM27" s="36"/>
      <c r="AN27" s="36"/>
    </row>
    <row r="28" spans="1:44" s="31" customFormat="1">
      <c r="A28" s="30" t="s">
        <v>62</v>
      </c>
      <c r="B28" s="30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>
        <v>3759.1089400000001</v>
      </c>
      <c r="AJ28" s="36"/>
      <c r="AK28" s="36"/>
      <c r="AL28" s="36"/>
      <c r="AM28" s="36"/>
      <c r="AN28" s="36"/>
      <c r="AO28" s="35"/>
      <c r="AP28" s="35"/>
      <c r="AQ28" s="35"/>
      <c r="AR28" s="35"/>
    </row>
    <row r="29" spans="1:44" s="31" customFormat="1">
      <c r="A29" s="6" t="s">
        <v>63</v>
      </c>
      <c r="B29" s="29" t="s">
        <v>4</v>
      </c>
      <c r="C29" s="33">
        <f t="shared" ref="C29:AH29" si="49">C26+C28</f>
        <v>0</v>
      </c>
      <c r="D29" s="33">
        <f t="shared" si="49"/>
        <v>0</v>
      </c>
      <c r="E29" s="33">
        <f t="shared" si="49"/>
        <v>0</v>
      </c>
      <c r="F29" s="33">
        <f t="shared" si="49"/>
        <v>0</v>
      </c>
      <c r="G29" s="33">
        <f t="shared" si="49"/>
        <v>0</v>
      </c>
      <c r="H29" s="33">
        <f t="shared" si="49"/>
        <v>0</v>
      </c>
      <c r="I29" s="33">
        <f t="shared" si="49"/>
        <v>0</v>
      </c>
      <c r="J29" s="33">
        <f t="shared" si="49"/>
        <v>0</v>
      </c>
      <c r="K29" s="33">
        <f t="shared" si="49"/>
        <v>0</v>
      </c>
      <c r="L29" s="33">
        <f t="shared" si="49"/>
        <v>0</v>
      </c>
      <c r="M29" s="33">
        <f t="shared" si="49"/>
        <v>0</v>
      </c>
      <c r="N29" s="33">
        <f t="shared" si="49"/>
        <v>0</v>
      </c>
      <c r="O29" s="33">
        <f t="shared" si="49"/>
        <v>0</v>
      </c>
      <c r="P29" s="33">
        <f t="shared" si="49"/>
        <v>0</v>
      </c>
      <c r="Q29" s="33">
        <f t="shared" si="49"/>
        <v>0</v>
      </c>
      <c r="R29" s="33">
        <f t="shared" si="49"/>
        <v>0</v>
      </c>
      <c r="S29" s="33">
        <f t="shared" si="49"/>
        <v>0</v>
      </c>
      <c r="T29" s="33">
        <f t="shared" si="49"/>
        <v>0</v>
      </c>
      <c r="U29" s="33">
        <f t="shared" si="49"/>
        <v>0</v>
      </c>
      <c r="V29" s="33">
        <f t="shared" si="49"/>
        <v>0</v>
      </c>
      <c r="W29" s="33">
        <f t="shared" si="49"/>
        <v>0</v>
      </c>
      <c r="X29" s="33">
        <f t="shared" si="49"/>
        <v>0</v>
      </c>
      <c r="Y29" s="33">
        <f t="shared" si="49"/>
        <v>0</v>
      </c>
      <c r="Z29" s="33">
        <f t="shared" si="49"/>
        <v>0</v>
      </c>
      <c r="AA29" s="33">
        <f t="shared" si="49"/>
        <v>0</v>
      </c>
      <c r="AB29" s="33">
        <f t="shared" si="49"/>
        <v>0</v>
      </c>
      <c r="AC29" s="33">
        <f t="shared" si="49"/>
        <v>0</v>
      </c>
      <c r="AD29" s="33">
        <f t="shared" si="49"/>
        <v>0</v>
      </c>
      <c r="AE29" s="33">
        <f t="shared" si="49"/>
        <v>0</v>
      </c>
      <c r="AF29" s="33">
        <f t="shared" si="49"/>
        <v>0</v>
      </c>
      <c r="AG29" s="33">
        <f t="shared" si="49"/>
        <v>0</v>
      </c>
      <c r="AH29" s="33">
        <f t="shared" si="49"/>
        <v>0</v>
      </c>
      <c r="AI29" s="33">
        <f>AI26+AI28</f>
        <v>252071.10894000001</v>
      </c>
      <c r="AJ29" s="36"/>
      <c r="AK29" s="36"/>
      <c r="AL29" s="36"/>
      <c r="AM29" s="36"/>
      <c r="AN29" s="36"/>
      <c r="AO29" s="35"/>
      <c r="AP29" s="35"/>
      <c r="AQ29" s="60"/>
      <c r="AR29" s="35"/>
    </row>
    <row r="30" spans="1:44" s="31" customFormat="1">
      <c r="A30" s="82" t="s">
        <v>64</v>
      </c>
      <c r="B30" s="6" t="s">
        <v>5</v>
      </c>
      <c r="C30" s="90">
        <f t="shared" ref="C30:AH30" si="50">IFERROR(C29/$C$48,0)</f>
        <v>0</v>
      </c>
      <c r="D30" s="90">
        <f t="shared" si="50"/>
        <v>0</v>
      </c>
      <c r="E30" s="90">
        <f t="shared" si="50"/>
        <v>0</v>
      </c>
      <c r="F30" s="90">
        <f t="shared" si="50"/>
        <v>0</v>
      </c>
      <c r="G30" s="90">
        <f t="shared" si="50"/>
        <v>0</v>
      </c>
      <c r="H30" s="90">
        <f t="shared" si="50"/>
        <v>0</v>
      </c>
      <c r="I30" s="90">
        <f t="shared" si="50"/>
        <v>0</v>
      </c>
      <c r="J30" s="90">
        <f t="shared" si="50"/>
        <v>0</v>
      </c>
      <c r="K30" s="90">
        <f t="shared" si="50"/>
        <v>0</v>
      </c>
      <c r="L30" s="90">
        <f t="shared" si="50"/>
        <v>0</v>
      </c>
      <c r="M30" s="90">
        <f t="shared" si="50"/>
        <v>0</v>
      </c>
      <c r="N30" s="90">
        <f t="shared" si="50"/>
        <v>0</v>
      </c>
      <c r="O30" s="90">
        <f t="shared" si="50"/>
        <v>0</v>
      </c>
      <c r="P30" s="90">
        <f t="shared" si="50"/>
        <v>0</v>
      </c>
      <c r="Q30" s="90">
        <f t="shared" si="50"/>
        <v>0</v>
      </c>
      <c r="R30" s="90">
        <f t="shared" si="50"/>
        <v>0</v>
      </c>
      <c r="S30" s="90">
        <f t="shared" si="50"/>
        <v>0</v>
      </c>
      <c r="T30" s="90">
        <f t="shared" si="50"/>
        <v>0</v>
      </c>
      <c r="U30" s="90">
        <f t="shared" si="50"/>
        <v>0</v>
      </c>
      <c r="V30" s="90">
        <f t="shared" si="50"/>
        <v>0</v>
      </c>
      <c r="W30" s="90">
        <f t="shared" si="50"/>
        <v>0</v>
      </c>
      <c r="X30" s="90">
        <f t="shared" si="50"/>
        <v>0</v>
      </c>
      <c r="Y30" s="90">
        <f t="shared" si="50"/>
        <v>0</v>
      </c>
      <c r="Z30" s="90">
        <f t="shared" si="50"/>
        <v>0</v>
      </c>
      <c r="AA30" s="90">
        <f t="shared" si="50"/>
        <v>0</v>
      </c>
      <c r="AB30" s="90">
        <f t="shared" si="50"/>
        <v>0</v>
      </c>
      <c r="AC30" s="90">
        <f t="shared" si="50"/>
        <v>0</v>
      </c>
      <c r="AD30" s="90">
        <f t="shared" si="50"/>
        <v>0</v>
      </c>
      <c r="AE30" s="90">
        <f t="shared" si="50"/>
        <v>0</v>
      </c>
      <c r="AF30" s="90">
        <f t="shared" si="50"/>
        <v>0</v>
      </c>
      <c r="AG30" s="90">
        <f t="shared" si="50"/>
        <v>0</v>
      </c>
      <c r="AH30" s="90">
        <f t="shared" si="50"/>
        <v>0</v>
      </c>
      <c r="AI30" s="90">
        <f>IFERROR(AI29/$C$48,0)</f>
        <v>0</v>
      </c>
      <c r="AJ30" s="36"/>
      <c r="AK30" s="36"/>
      <c r="AL30" s="36"/>
      <c r="AM30" s="36"/>
      <c r="AN30" s="36"/>
      <c r="AO30" s="35"/>
      <c r="AP30" s="35"/>
      <c r="AQ30" s="35"/>
      <c r="AR30" s="35"/>
    </row>
    <row r="31" spans="1:44" s="31" customFormat="1">
      <c r="A31" s="9" t="s">
        <v>65</v>
      </c>
      <c r="B31" s="30" t="s">
        <v>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32"/>
      <c r="AJ31" s="36"/>
      <c r="AK31" s="36"/>
      <c r="AL31" s="36"/>
      <c r="AM31" s="36"/>
      <c r="AN31" s="36"/>
      <c r="AO31" s="35"/>
      <c r="AP31" s="35"/>
      <c r="AQ31" s="35"/>
      <c r="AR31" s="35"/>
    </row>
    <row r="32" spans="1:44" s="31" customFormat="1">
      <c r="A32" s="83" t="s">
        <v>66</v>
      </c>
      <c r="B32" s="16" t="s">
        <v>5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4"/>
      <c r="AJ32" s="36"/>
      <c r="AK32" s="36"/>
      <c r="AL32" s="36"/>
      <c r="AM32" s="36"/>
      <c r="AN32" s="36"/>
      <c r="AO32" s="35"/>
      <c r="AP32" s="35"/>
      <c r="AQ32" s="35"/>
      <c r="AR32" s="35"/>
    </row>
    <row r="33" spans="1:44" s="31" customFormat="1">
      <c r="A33" s="6" t="s">
        <v>71</v>
      </c>
      <c r="B33" s="6" t="s">
        <v>59</v>
      </c>
      <c r="C33" s="91">
        <f t="shared" ref="C33" si="51">IFERROR(C29/C8,0)</f>
        <v>0</v>
      </c>
      <c r="D33" s="91">
        <f t="shared" ref="D33:AH33" si="52">IFERROR(D29/D8,0)</f>
        <v>0</v>
      </c>
      <c r="E33" s="91">
        <f t="shared" si="52"/>
        <v>0</v>
      </c>
      <c r="F33" s="91">
        <f t="shared" si="52"/>
        <v>0</v>
      </c>
      <c r="G33" s="91">
        <f t="shared" si="52"/>
        <v>0</v>
      </c>
      <c r="H33" s="91">
        <f t="shared" si="52"/>
        <v>0</v>
      </c>
      <c r="I33" s="91">
        <f t="shared" si="52"/>
        <v>0</v>
      </c>
      <c r="J33" s="91">
        <f t="shared" si="52"/>
        <v>0</v>
      </c>
      <c r="K33" s="91">
        <f t="shared" si="52"/>
        <v>0</v>
      </c>
      <c r="L33" s="91">
        <f t="shared" si="52"/>
        <v>0</v>
      </c>
      <c r="M33" s="91">
        <f t="shared" si="52"/>
        <v>0</v>
      </c>
      <c r="N33" s="91">
        <f t="shared" si="52"/>
        <v>0</v>
      </c>
      <c r="O33" s="91">
        <f t="shared" si="52"/>
        <v>0</v>
      </c>
      <c r="P33" s="91">
        <f t="shared" si="52"/>
        <v>0</v>
      </c>
      <c r="Q33" s="91">
        <f t="shared" si="52"/>
        <v>0</v>
      </c>
      <c r="R33" s="91">
        <f t="shared" si="52"/>
        <v>0</v>
      </c>
      <c r="S33" s="91">
        <f t="shared" si="52"/>
        <v>0</v>
      </c>
      <c r="T33" s="91">
        <f t="shared" si="52"/>
        <v>0</v>
      </c>
      <c r="U33" s="91">
        <f t="shared" si="52"/>
        <v>0</v>
      </c>
      <c r="V33" s="91">
        <f t="shared" si="52"/>
        <v>0</v>
      </c>
      <c r="W33" s="91">
        <f t="shared" si="52"/>
        <v>0</v>
      </c>
      <c r="X33" s="91">
        <f t="shared" si="52"/>
        <v>0</v>
      </c>
      <c r="Y33" s="91">
        <f t="shared" si="52"/>
        <v>0</v>
      </c>
      <c r="Z33" s="91">
        <f t="shared" si="52"/>
        <v>0</v>
      </c>
      <c r="AA33" s="91">
        <f t="shared" si="52"/>
        <v>0</v>
      </c>
      <c r="AB33" s="91">
        <f t="shared" si="52"/>
        <v>0</v>
      </c>
      <c r="AC33" s="91">
        <f t="shared" si="52"/>
        <v>0</v>
      </c>
      <c r="AD33" s="91">
        <f t="shared" si="52"/>
        <v>0</v>
      </c>
      <c r="AE33" s="91">
        <f t="shared" si="52"/>
        <v>0</v>
      </c>
      <c r="AF33" s="91">
        <f t="shared" si="52"/>
        <v>0</v>
      </c>
      <c r="AG33" s="91">
        <f t="shared" si="52"/>
        <v>0</v>
      </c>
      <c r="AH33" s="91">
        <f t="shared" si="52"/>
        <v>0</v>
      </c>
      <c r="AI33" s="91">
        <f>IFERROR(AI29/AI8,0)</f>
        <v>122.03889364995989</v>
      </c>
      <c r="AJ33" s="36"/>
      <c r="AK33" s="36"/>
      <c r="AL33" s="36"/>
      <c r="AM33" s="36"/>
      <c r="AN33" s="36"/>
      <c r="AO33" s="35"/>
      <c r="AP33" s="35"/>
      <c r="AQ33" s="35"/>
      <c r="AR33" s="35"/>
    </row>
    <row r="34" spans="1:44" s="31" customFormat="1">
      <c r="A34" s="6" t="s">
        <v>71</v>
      </c>
      <c r="B34" s="6" t="s">
        <v>76</v>
      </c>
      <c r="C34" s="91">
        <f t="shared" ref="C34:AH34" si="53">IFERROR(C33/C41,0)</f>
        <v>0</v>
      </c>
      <c r="D34" s="91">
        <f t="shared" si="53"/>
        <v>0</v>
      </c>
      <c r="E34" s="91">
        <f t="shared" si="53"/>
        <v>0</v>
      </c>
      <c r="F34" s="91">
        <f t="shared" si="53"/>
        <v>0</v>
      </c>
      <c r="G34" s="91">
        <f t="shared" si="53"/>
        <v>0</v>
      </c>
      <c r="H34" s="91">
        <f t="shared" si="53"/>
        <v>0</v>
      </c>
      <c r="I34" s="91">
        <f t="shared" si="53"/>
        <v>0</v>
      </c>
      <c r="J34" s="91">
        <f t="shared" si="53"/>
        <v>0</v>
      </c>
      <c r="K34" s="91">
        <f t="shared" si="53"/>
        <v>0</v>
      </c>
      <c r="L34" s="91">
        <f t="shared" si="53"/>
        <v>0</v>
      </c>
      <c r="M34" s="91">
        <f t="shared" si="53"/>
        <v>0</v>
      </c>
      <c r="N34" s="91">
        <f t="shared" si="53"/>
        <v>0</v>
      </c>
      <c r="O34" s="91">
        <f t="shared" si="53"/>
        <v>0</v>
      </c>
      <c r="P34" s="91">
        <f t="shared" si="53"/>
        <v>0</v>
      </c>
      <c r="Q34" s="91">
        <f t="shared" si="53"/>
        <v>0</v>
      </c>
      <c r="R34" s="91">
        <f t="shared" si="53"/>
        <v>0</v>
      </c>
      <c r="S34" s="91">
        <f t="shared" si="53"/>
        <v>0</v>
      </c>
      <c r="T34" s="91">
        <f t="shared" si="53"/>
        <v>0</v>
      </c>
      <c r="U34" s="91">
        <f t="shared" si="53"/>
        <v>0</v>
      </c>
      <c r="V34" s="91">
        <f t="shared" si="53"/>
        <v>0</v>
      </c>
      <c r="W34" s="91">
        <f t="shared" si="53"/>
        <v>0</v>
      </c>
      <c r="X34" s="91">
        <f t="shared" si="53"/>
        <v>0</v>
      </c>
      <c r="Y34" s="91">
        <f t="shared" si="53"/>
        <v>0</v>
      </c>
      <c r="Z34" s="91">
        <f t="shared" si="53"/>
        <v>0</v>
      </c>
      <c r="AA34" s="91">
        <f t="shared" si="53"/>
        <v>0</v>
      </c>
      <c r="AB34" s="91">
        <f t="shared" si="53"/>
        <v>0</v>
      </c>
      <c r="AC34" s="91">
        <f t="shared" si="53"/>
        <v>0</v>
      </c>
      <c r="AD34" s="91">
        <f t="shared" si="53"/>
        <v>0</v>
      </c>
      <c r="AE34" s="91">
        <f t="shared" si="53"/>
        <v>0</v>
      </c>
      <c r="AF34" s="91">
        <f t="shared" si="53"/>
        <v>0</v>
      </c>
      <c r="AG34" s="91">
        <f t="shared" si="53"/>
        <v>0</v>
      </c>
      <c r="AH34" s="91">
        <f t="shared" si="53"/>
        <v>0</v>
      </c>
      <c r="AI34" s="91">
        <f>IFERROR(AI33/AI41,0)</f>
        <v>22.298507500382531</v>
      </c>
      <c r="AJ34" s="36"/>
      <c r="AK34" s="36"/>
      <c r="AL34" s="36"/>
      <c r="AM34" s="36"/>
      <c r="AN34" s="36"/>
      <c r="AO34" s="35"/>
      <c r="AP34" s="35"/>
      <c r="AQ34" s="35"/>
      <c r="AR34" s="35"/>
    </row>
    <row r="35" spans="1:44" s="31" customFormat="1">
      <c r="A35" s="29"/>
      <c r="B35" s="29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71"/>
      <c r="AI35" s="33"/>
      <c r="AJ35" s="36"/>
      <c r="AK35" s="36"/>
      <c r="AL35" s="36"/>
      <c r="AM35" s="36"/>
      <c r="AN35" s="36"/>
      <c r="AO35" s="35"/>
      <c r="AP35" s="35"/>
      <c r="AQ35" s="35"/>
      <c r="AR35" s="35"/>
    </row>
    <row r="36" spans="1:44" s="31" customFormat="1">
      <c r="A36" s="30" t="s">
        <v>72</v>
      </c>
      <c r="B36" s="30" t="s">
        <v>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>
        <f>AI118</f>
        <v>413475</v>
      </c>
      <c r="AJ36" s="36"/>
      <c r="AK36" s="36"/>
      <c r="AL36" s="36"/>
      <c r="AM36" s="36"/>
      <c r="AN36" s="36"/>
      <c r="AO36" s="35"/>
      <c r="AP36" s="35"/>
      <c r="AQ36" s="35"/>
      <c r="AR36" s="35"/>
    </row>
    <row r="37" spans="1:44">
      <c r="A37" s="16" t="s">
        <v>73</v>
      </c>
      <c r="B37" s="30" t="s">
        <v>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>
        <f>AI145+AI146+AI156+AI157</f>
        <v>1752183</v>
      </c>
      <c r="AJ37" s="36"/>
      <c r="AK37" s="36"/>
      <c r="AL37" s="36"/>
      <c r="AM37" s="36"/>
      <c r="AN37" s="36"/>
    </row>
    <row r="38" spans="1:44">
      <c r="A38" s="6" t="s">
        <v>74</v>
      </c>
      <c r="B38" s="29" t="s">
        <v>4</v>
      </c>
      <c r="C38" s="18">
        <f t="shared" ref="C38:AH38" si="54">C37-C36</f>
        <v>0</v>
      </c>
      <c r="D38" s="18">
        <f t="shared" si="54"/>
        <v>0</v>
      </c>
      <c r="E38" s="18">
        <f t="shared" si="54"/>
        <v>0</v>
      </c>
      <c r="F38" s="18">
        <f t="shared" si="54"/>
        <v>0</v>
      </c>
      <c r="G38" s="18">
        <f t="shared" si="54"/>
        <v>0</v>
      </c>
      <c r="H38" s="18">
        <f t="shared" si="54"/>
        <v>0</v>
      </c>
      <c r="I38" s="18">
        <f t="shared" si="54"/>
        <v>0</v>
      </c>
      <c r="J38" s="18">
        <f t="shared" si="54"/>
        <v>0</v>
      </c>
      <c r="K38" s="18">
        <f t="shared" si="54"/>
        <v>0</v>
      </c>
      <c r="L38" s="18">
        <f t="shared" si="54"/>
        <v>0</v>
      </c>
      <c r="M38" s="18">
        <f t="shared" si="54"/>
        <v>0</v>
      </c>
      <c r="N38" s="18">
        <f t="shared" si="54"/>
        <v>0</v>
      </c>
      <c r="O38" s="18">
        <f t="shared" si="54"/>
        <v>0</v>
      </c>
      <c r="P38" s="18">
        <f t="shared" si="54"/>
        <v>0</v>
      </c>
      <c r="Q38" s="18">
        <f t="shared" si="54"/>
        <v>0</v>
      </c>
      <c r="R38" s="18">
        <f t="shared" si="54"/>
        <v>0</v>
      </c>
      <c r="S38" s="18">
        <f t="shared" si="54"/>
        <v>0</v>
      </c>
      <c r="T38" s="18">
        <f t="shared" si="54"/>
        <v>0</v>
      </c>
      <c r="U38" s="18">
        <f t="shared" si="54"/>
        <v>0</v>
      </c>
      <c r="V38" s="18">
        <f t="shared" si="54"/>
        <v>0</v>
      </c>
      <c r="W38" s="18">
        <f t="shared" si="54"/>
        <v>0</v>
      </c>
      <c r="X38" s="18">
        <f t="shared" si="54"/>
        <v>0</v>
      </c>
      <c r="Y38" s="18">
        <f t="shared" si="54"/>
        <v>0</v>
      </c>
      <c r="Z38" s="18">
        <f t="shared" si="54"/>
        <v>0</v>
      </c>
      <c r="AA38" s="18">
        <f t="shared" si="54"/>
        <v>0</v>
      </c>
      <c r="AB38" s="18">
        <f t="shared" si="54"/>
        <v>0</v>
      </c>
      <c r="AC38" s="18">
        <f t="shared" si="54"/>
        <v>0</v>
      </c>
      <c r="AD38" s="18">
        <f t="shared" si="54"/>
        <v>0</v>
      </c>
      <c r="AE38" s="18">
        <f t="shared" si="54"/>
        <v>0</v>
      </c>
      <c r="AF38" s="18">
        <f t="shared" si="54"/>
        <v>0</v>
      </c>
      <c r="AG38" s="18">
        <f t="shared" si="54"/>
        <v>0</v>
      </c>
      <c r="AH38" s="18">
        <f t="shared" si="54"/>
        <v>0</v>
      </c>
      <c r="AI38" s="7">
        <f>AI37-AI36</f>
        <v>1338708</v>
      </c>
    </row>
    <row r="39" spans="1:44">
      <c r="A39" s="6" t="s">
        <v>77</v>
      </c>
      <c r="B39" s="29" t="s">
        <v>75</v>
      </c>
      <c r="C39" s="86"/>
      <c r="D39" s="86"/>
      <c r="E39" s="86"/>
      <c r="F39" s="86">
        <f>IFERROR(F38/SUM(C29:F29),0)</f>
        <v>0</v>
      </c>
      <c r="G39" s="86">
        <f t="shared" ref="G39:AI39" si="55">IFERROR(G38/SUM(D29:G29),0)</f>
        <v>0</v>
      </c>
      <c r="H39" s="86">
        <f t="shared" si="55"/>
        <v>0</v>
      </c>
      <c r="I39" s="86">
        <f t="shared" si="55"/>
        <v>0</v>
      </c>
      <c r="J39" s="86">
        <f t="shared" si="55"/>
        <v>0</v>
      </c>
      <c r="K39" s="86">
        <f t="shared" si="55"/>
        <v>0</v>
      </c>
      <c r="L39" s="86">
        <f t="shared" si="55"/>
        <v>0</v>
      </c>
      <c r="M39" s="86">
        <f t="shared" si="55"/>
        <v>0</v>
      </c>
      <c r="N39" s="86">
        <f t="shared" si="55"/>
        <v>0</v>
      </c>
      <c r="O39" s="86">
        <f t="shared" si="55"/>
        <v>0</v>
      </c>
      <c r="P39" s="86">
        <f t="shared" si="55"/>
        <v>0</v>
      </c>
      <c r="Q39" s="86">
        <f t="shared" si="55"/>
        <v>0</v>
      </c>
      <c r="R39" s="86">
        <f t="shared" si="55"/>
        <v>0</v>
      </c>
      <c r="S39" s="86">
        <f t="shared" si="55"/>
        <v>0</v>
      </c>
      <c r="T39" s="86">
        <f t="shared" si="55"/>
        <v>0</v>
      </c>
      <c r="U39" s="86">
        <f t="shared" si="55"/>
        <v>0</v>
      </c>
      <c r="V39" s="86">
        <f t="shared" si="55"/>
        <v>0</v>
      </c>
      <c r="W39" s="86">
        <f t="shared" si="55"/>
        <v>0</v>
      </c>
      <c r="X39" s="86">
        <f t="shared" si="55"/>
        <v>0</v>
      </c>
      <c r="Y39" s="86">
        <f t="shared" si="55"/>
        <v>0</v>
      </c>
      <c r="Z39" s="86">
        <f t="shared" si="55"/>
        <v>0</v>
      </c>
      <c r="AA39" s="86">
        <f t="shared" si="55"/>
        <v>0</v>
      </c>
      <c r="AB39" s="86">
        <f t="shared" si="55"/>
        <v>0</v>
      </c>
      <c r="AC39" s="86">
        <f t="shared" si="55"/>
        <v>0</v>
      </c>
      <c r="AD39" s="86">
        <f t="shared" si="55"/>
        <v>0</v>
      </c>
      <c r="AE39" s="86">
        <f t="shared" si="55"/>
        <v>0</v>
      </c>
      <c r="AF39" s="86">
        <f t="shared" si="55"/>
        <v>0</v>
      </c>
      <c r="AG39" s="86">
        <f t="shared" si="55"/>
        <v>0</v>
      </c>
      <c r="AH39" s="86">
        <f t="shared" si="55"/>
        <v>0</v>
      </c>
      <c r="AI39" s="86">
        <f t="shared" si="55"/>
        <v>5.3108347308403756</v>
      </c>
    </row>
    <row r="40" spans="1:44">
      <c r="A40" s="6"/>
      <c r="B40" s="2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AF40" s="67"/>
      <c r="AG40" s="67"/>
      <c r="AH40" s="67"/>
      <c r="AI40" s="4"/>
    </row>
    <row r="41" spans="1:44">
      <c r="A41" s="16" t="s">
        <v>101</v>
      </c>
      <c r="B41" s="29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>
        <v>5.4729624235104666</v>
      </c>
    </row>
    <row r="42" spans="1:44">
      <c r="A42" s="16"/>
      <c r="B42" s="1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AF42" s="67"/>
      <c r="AG42" s="67"/>
      <c r="AH42" s="67"/>
      <c r="AI42" s="4"/>
    </row>
    <row r="43" spans="1:44">
      <c r="A43" s="76" t="s">
        <v>6</v>
      </c>
      <c r="B43" s="77"/>
      <c r="C43" s="78"/>
      <c r="D43" s="78"/>
      <c r="E43" s="78"/>
      <c r="F43" s="78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8"/>
    </row>
    <row r="44" spans="1:44" s="35" customFormat="1">
      <c r="A44" s="9" t="s">
        <v>78</v>
      </c>
      <c r="B44" s="16" t="s">
        <v>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>
        <v>885034</v>
      </c>
    </row>
    <row r="45" spans="1:44" s="35" customFormat="1">
      <c r="A45" s="9" t="s">
        <v>79</v>
      </c>
      <c r="B45" s="16" t="s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>
        <v>38725</v>
      </c>
    </row>
    <row r="46" spans="1:44" s="35" customFormat="1">
      <c r="A46" s="9" t="s">
        <v>80</v>
      </c>
      <c r="B46" s="16" t="s">
        <v>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>
        <v>-225174</v>
      </c>
    </row>
    <row r="47" spans="1:44" s="35" customFormat="1">
      <c r="A47" s="9" t="s">
        <v>81</v>
      </c>
      <c r="B47" s="16" t="s">
        <v>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>
        <v>-4539</v>
      </c>
    </row>
    <row r="48" spans="1:44">
      <c r="A48" s="6" t="s">
        <v>2</v>
      </c>
      <c r="B48" s="6" t="s">
        <v>4</v>
      </c>
      <c r="C48" s="68">
        <f t="shared" ref="C48:AH48" si="56">SUM(C44:C47)</f>
        <v>0</v>
      </c>
      <c r="D48" s="68">
        <f t="shared" si="56"/>
        <v>0</v>
      </c>
      <c r="E48" s="68">
        <f t="shared" si="56"/>
        <v>0</v>
      </c>
      <c r="F48" s="68">
        <f t="shared" si="56"/>
        <v>0</v>
      </c>
      <c r="G48" s="68">
        <f t="shared" si="56"/>
        <v>0</v>
      </c>
      <c r="H48" s="68">
        <f t="shared" si="56"/>
        <v>0</v>
      </c>
      <c r="I48" s="68">
        <f t="shared" si="56"/>
        <v>0</v>
      </c>
      <c r="J48" s="68">
        <f t="shared" si="56"/>
        <v>0</v>
      </c>
      <c r="K48" s="68">
        <f t="shared" si="56"/>
        <v>0</v>
      </c>
      <c r="L48" s="68">
        <f t="shared" si="56"/>
        <v>0</v>
      </c>
      <c r="M48" s="68">
        <f t="shared" si="56"/>
        <v>0</v>
      </c>
      <c r="N48" s="68">
        <f t="shared" si="56"/>
        <v>0</v>
      </c>
      <c r="O48" s="68">
        <f t="shared" si="56"/>
        <v>0</v>
      </c>
      <c r="P48" s="68">
        <f t="shared" si="56"/>
        <v>0</v>
      </c>
      <c r="Q48" s="68">
        <f t="shared" si="56"/>
        <v>0</v>
      </c>
      <c r="R48" s="68">
        <f t="shared" si="56"/>
        <v>0</v>
      </c>
      <c r="S48" s="68">
        <f t="shared" si="56"/>
        <v>0</v>
      </c>
      <c r="T48" s="68">
        <f t="shared" si="56"/>
        <v>0</v>
      </c>
      <c r="U48" s="68">
        <f t="shared" si="56"/>
        <v>0</v>
      </c>
      <c r="V48" s="68">
        <f t="shared" si="56"/>
        <v>0</v>
      </c>
      <c r="W48" s="68">
        <f t="shared" si="56"/>
        <v>0</v>
      </c>
      <c r="X48" s="68">
        <f t="shared" si="56"/>
        <v>0</v>
      </c>
      <c r="Y48" s="68">
        <f t="shared" si="56"/>
        <v>0</v>
      </c>
      <c r="Z48" s="68">
        <f t="shared" si="56"/>
        <v>0</v>
      </c>
      <c r="AA48" s="68">
        <f t="shared" si="56"/>
        <v>0</v>
      </c>
      <c r="AB48" s="68">
        <f t="shared" si="56"/>
        <v>0</v>
      </c>
      <c r="AC48" s="68">
        <f t="shared" si="56"/>
        <v>0</v>
      </c>
      <c r="AD48" s="68">
        <f t="shared" si="56"/>
        <v>0</v>
      </c>
      <c r="AE48" s="68">
        <f t="shared" si="56"/>
        <v>0</v>
      </c>
      <c r="AF48" s="68">
        <f t="shared" si="56"/>
        <v>0</v>
      </c>
      <c r="AG48" s="68">
        <f t="shared" si="56"/>
        <v>0</v>
      </c>
      <c r="AH48" s="68">
        <f t="shared" si="56"/>
        <v>0</v>
      </c>
      <c r="AI48" s="68">
        <f>SUM(AI44:AI47)</f>
        <v>694046</v>
      </c>
      <c r="AJ48" s="36"/>
      <c r="AK48" s="36"/>
      <c r="AL48" s="36"/>
      <c r="AM48" s="36"/>
      <c r="AN48" s="36"/>
    </row>
    <row r="49" spans="1:51">
      <c r="A49" s="9" t="s">
        <v>84</v>
      </c>
      <c r="B49" s="16" t="s">
        <v>4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>
        <f>-510052-AI51</f>
        <v>-414978</v>
      </c>
      <c r="AJ49" s="36"/>
      <c r="AK49" s="36"/>
      <c r="AL49" s="36"/>
      <c r="AM49" s="36"/>
      <c r="AN49" s="36"/>
    </row>
    <row r="50" spans="1:51" ht="12.75" customHeight="1">
      <c r="A50" s="9" t="s">
        <v>85</v>
      </c>
      <c r="B50" s="16" t="s">
        <v>4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36"/>
      <c r="AK50" s="36"/>
      <c r="AL50" s="36"/>
      <c r="AM50" s="36"/>
      <c r="AN50" s="36"/>
    </row>
    <row r="51" spans="1:51" ht="12.75" customHeight="1">
      <c r="A51" s="9" t="s">
        <v>86</v>
      </c>
      <c r="B51" s="16" t="s">
        <v>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>
        <f>-66238-28836</f>
        <v>-95074</v>
      </c>
      <c r="AJ51" s="36"/>
      <c r="AK51" s="36"/>
      <c r="AL51" s="36"/>
      <c r="AM51" s="36"/>
      <c r="AN51" s="36"/>
    </row>
    <row r="52" spans="1:51">
      <c r="A52" s="6" t="s">
        <v>83</v>
      </c>
      <c r="B52" s="6" t="s">
        <v>4</v>
      </c>
      <c r="C52" s="13">
        <f t="shared" ref="C52:AH52" si="57">SUM(C49:C51)</f>
        <v>0</v>
      </c>
      <c r="D52" s="13">
        <f t="shared" si="57"/>
        <v>0</v>
      </c>
      <c r="E52" s="13">
        <f t="shared" si="57"/>
        <v>0</v>
      </c>
      <c r="F52" s="13">
        <f t="shared" si="57"/>
        <v>0</v>
      </c>
      <c r="G52" s="13">
        <f t="shared" si="57"/>
        <v>0</v>
      </c>
      <c r="H52" s="13">
        <f t="shared" si="57"/>
        <v>0</v>
      </c>
      <c r="I52" s="13">
        <f t="shared" si="57"/>
        <v>0</v>
      </c>
      <c r="J52" s="13">
        <f t="shared" si="57"/>
        <v>0</v>
      </c>
      <c r="K52" s="13">
        <f t="shared" si="57"/>
        <v>0</v>
      </c>
      <c r="L52" s="13">
        <f t="shared" si="57"/>
        <v>0</v>
      </c>
      <c r="M52" s="13">
        <f t="shared" si="57"/>
        <v>0</v>
      </c>
      <c r="N52" s="13">
        <f t="shared" si="57"/>
        <v>0</v>
      </c>
      <c r="O52" s="13">
        <f t="shared" si="57"/>
        <v>0</v>
      </c>
      <c r="P52" s="13">
        <f t="shared" si="57"/>
        <v>0</v>
      </c>
      <c r="Q52" s="13">
        <f t="shared" si="57"/>
        <v>0</v>
      </c>
      <c r="R52" s="13">
        <f t="shared" si="57"/>
        <v>0</v>
      </c>
      <c r="S52" s="13">
        <f t="shared" si="57"/>
        <v>0</v>
      </c>
      <c r="T52" s="13">
        <f t="shared" si="57"/>
        <v>0</v>
      </c>
      <c r="U52" s="13">
        <f t="shared" si="57"/>
        <v>0</v>
      </c>
      <c r="V52" s="13">
        <f t="shared" si="57"/>
        <v>0</v>
      </c>
      <c r="W52" s="13">
        <f t="shared" si="57"/>
        <v>0</v>
      </c>
      <c r="X52" s="13">
        <f t="shared" si="57"/>
        <v>0</v>
      </c>
      <c r="Y52" s="13">
        <f t="shared" si="57"/>
        <v>0</v>
      </c>
      <c r="Z52" s="13">
        <f t="shared" si="57"/>
        <v>0</v>
      </c>
      <c r="AA52" s="13">
        <f t="shared" si="57"/>
        <v>0</v>
      </c>
      <c r="AB52" s="13">
        <f t="shared" si="57"/>
        <v>0</v>
      </c>
      <c r="AC52" s="13">
        <f t="shared" si="57"/>
        <v>0</v>
      </c>
      <c r="AD52" s="13">
        <f t="shared" si="57"/>
        <v>0</v>
      </c>
      <c r="AE52" s="13">
        <f t="shared" si="57"/>
        <v>0</v>
      </c>
      <c r="AF52" s="13">
        <f t="shared" si="57"/>
        <v>0</v>
      </c>
      <c r="AG52" s="13">
        <f t="shared" si="57"/>
        <v>0</v>
      </c>
      <c r="AH52" s="13">
        <f t="shared" si="57"/>
        <v>0</v>
      </c>
      <c r="AI52" s="13">
        <f>SUM(AI49:AI51)</f>
        <v>-510052</v>
      </c>
      <c r="AJ52" s="36"/>
      <c r="AK52" s="36"/>
      <c r="AL52" s="36"/>
      <c r="AM52" s="36"/>
      <c r="AN52" s="36"/>
      <c r="AQ52" s="39"/>
    </row>
    <row r="53" spans="1:51" s="31" customFormat="1">
      <c r="A53" s="29" t="s">
        <v>87</v>
      </c>
      <c r="B53" s="29" t="s">
        <v>4</v>
      </c>
      <c r="C53" s="68">
        <f t="shared" ref="C53:AH53" si="58">SUM(C52,C48)</f>
        <v>0</v>
      </c>
      <c r="D53" s="68">
        <f t="shared" si="58"/>
        <v>0</v>
      </c>
      <c r="E53" s="68">
        <f t="shared" si="58"/>
        <v>0</v>
      </c>
      <c r="F53" s="68">
        <f t="shared" si="58"/>
        <v>0</v>
      </c>
      <c r="G53" s="68">
        <f t="shared" si="58"/>
        <v>0</v>
      </c>
      <c r="H53" s="68">
        <f t="shared" si="58"/>
        <v>0</v>
      </c>
      <c r="I53" s="68">
        <f t="shared" si="58"/>
        <v>0</v>
      </c>
      <c r="J53" s="68">
        <f t="shared" si="58"/>
        <v>0</v>
      </c>
      <c r="K53" s="68">
        <f t="shared" si="58"/>
        <v>0</v>
      </c>
      <c r="L53" s="68">
        <f t="shared" si="58"/>
        <v>0</v>
      </c>
      <c r="M53" s="68">
        <f t="shared" si="58"/>
        <v>0</v>
      </c>
      <c r="N53" s="68">
        <f t="shared" si="58"/>
        <v>0</v>
      </c>
      <c r="O53" s="68">
        <f t="shared" si="58"/>
        <v>0</v>
      </c>
      <c r="P53" s="68">
        <f t="shared" si="58"/>
        <v>0</v>
      </c>
      <c r="Q53" s="68">
        <f t="shared" si="58"/>
        <v>0</v>
      </c>
      <c r="R53" s="68">
        <f t="shared" si="58"/>
        <v>0</v>
      </c>
      <c r="S53" s="68">
        <f t="shared" si="58"/>
        <v>0</v>
      </c>
      <c r="T53" s="68">
        <f t="shared" si="58"/>
        <v>0</v>
      </c>
      <c r="U53" s="68">
        <f t="shared" si="58"/>
        <v>0</v>
      </c>
      <c r="V53" s="68">
        <f t="shared" si="58"/>
        <v>0</v>
      </c>
      <c r="W53" s="68">
        <f t="shared" si="58"/>
        <v>0</v>
      </c>
      <c r="X53" s="68">
        <f t="shared" si="58"/>
        <v>0</v>
      </c>
      <c r="Y53" s="68">
        <f t="shared" si="58"/>
        <v>0</v>
      </c>
      <c r="Z53" s="68">
        <f t="shared" si="58"/>
        <v>0</v>
      </c>
      <c r="AA53" s="68">
        <f t="shared" si="58"/>
        <v>0</v>
      </c>
      <c r="AB53" s="68">
        <f t="shared" si="58"/>
        <v>0</v>
      </c>
      <c r="AC53" s="68">
        <f t="shared" si="58"/>
        <v>0</v>
      </c>
      <c r="AD53" s="68">
        <f t="shared" si="58"/>
        <v>0</v>
      </c>
      <c r="AE53" s="68">
        <f t="shared" si="58"/>
        <v>0</v>
      </c>
      <c r="AF53" s="68">
        <f t="shared" si="58"/>
        <v>0</v>
      </c>
      <c r="AG53" s="68">
        <f t="shared" si="58"/>
        <v>0</v>
      </c>
      <c r="AH53" s="68">
        <f t="shared" si="58"/>
        <v>0</v>
      </c>
      <c r="AI53" s="68">
        <f>SUM(AI52,AI48)</f>
        <v>183994</v>
      </c>
      <c r="AJ53" s="28"/>
      <c r="AK53" s="28"/>
      <c r="AL53" s="28"/>
      <c r="AM53" s="28"/>
      <c r="AN53" s="28"/>
    </row>
    <row r="54" spans="1:51" s="31" customFormat="1">
      <c r="A54" s="9" t="s">
        <v>69</v>
      </c>
      <c r="B54" s="16" t="s">
        <v>4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>
        <v>-51157</v>
      </c>
      <c r="AJ54" s="28"/>
      <c r="AK54" s="28"/>
      <c r="AL54" s="28"/>
      <c r="AM54" s="28"/>
      <c r="AN54" s="28"/>
    </row>
    <row r="55" spans="1:51" s="31" customFormat="1">
      <c r="A55" s="9" t="s">
        <v>91</v>
      </c>
      <c r="B55" s="16" t="s">
        <v>4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28"/>
      <c r="AK55" s="28"/>
      <c r="AL55" s="28"/>
      <c r="AM55" s="28"/>
      <c r="AN55" s="28"/>
    </row>
    <row r="56" spans="1:51" s="31" customFormat="1">
      <c r="A56" s="9" t="s">
        <v>86</v>
      </c>
      <c r="B56" s="16" t="s">
        <v>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28"/>
      <c r="AK56" s="28"/>
      <c r="AL56" s="28"/>
      <c r="AM56" s="28"/>
      <c r="AN56" s="28"/>
    </row>
    <row r="57" spans="1:51" s="31" customFormat="1">
      <c r="A57" s="29" t="s">
        <v>88</v>
      </c>
      <c r="B57" s="6" t="s">
        <v>4</v>
      </c>
      <c r="C57" s="13">
        <f>SUM(C54:C56)</f>
        <v>0</v>
      </c>
      <c r="D57" s="13">
        <f>SUM(D54:D56)</f>
        <v>0</v>
      </c>
      <c r="E57" s="13">
        <f t="shared" ref="E57:AH57" si="59">SUM(E54:E56)</f>
        <v>0</v>
      </c>
      <c r="F57" s="13">
        <f t="shared" si="59"/>
        <v>0</v>
      </c>
      <c r="G57" s="13">
        <f t="shared" si="59"/>
        <v>0</v>
      </c>
      <c r="H57" s="13">
        <f t="shared" si="59"/>
        <v>0</v>
      </c>
      <c r="I57" s="13">
        <f t="shared" si="59"/>
        <v>0</v>
      </c>
      <c r="J57" s="13">
        <f t="shared" si="59"/>
        <v>0</v>
      </c>
      <c r="K57" s="13">
        <f t="shared" si="59"/>
        <v>0</v>
      </c>
      <c r="L57" s="13">
        <f t="shared" si="59"/>
        <v>0</v>
      </c>
      <c r="M57" s="13">
        <f t="shared" si="59"/>
        <v>0</v>
      </c>
      <c r="N57" s="13">
        <f t="shared" si="59"/>
        <v>0</v>
      </c>
      <c r="O57" s="13">
        <f t="shared" si="59"/>
        <v>0</v>
      </c>
      <c r="P57" s="13">
        <f t="shared" si="59"/>
        <v>0</v>
      </c>
      <c r="Q57" s="13">
        <f t="shared" si="59"/>
        <v>0</v>
      </c>
      <c r="R57" s="13">
        <f t="shared" si="59"/>
        <v>0</v>
      </c>
      <c r="S57" s="13">
        <f t="shared" si="59"/>
        <v>0</v>
      </c>
      <c r="T57" s="13">
        <f t="shared" si="59"/>
        <v>0</v>
      </c>
      <c r="U57" s="13">
        <f t="shared" si="59"/>
        <v>0</v>
      </c>
      <c r="V57" s="13">
        <f t="shared" si="59"/>
        <v>0</v>
      </c>
      <c r="W57" s="13">
        <f t="shared" si="59"/>
        <v>0</v>
      </c>
      <c r="X57" s="13">
        <f t="shared" si="59"/>
        <v>0</v>
      </c>
      <c r="Y57" s="13">
        <f t="shared" si="59"/>
        <v>0</v>
      </c>
      <c r="Z57" s="13">
        <f t="shared" si="59"/>
        <v>0</v>
      </c>
      <c r="AA57" s="13">
        <f t="shared" si="59"/>
        <v>0</v>
      </c>
      <c r="AB57" s="13">
        <f t="shared" si="59"/>
        <v>0</v>
      </c>
      <c r="AC57" s="13">
        <f t="shared" si="59"/>
        <v>0</v>
      </c>
      <c r="AD57" s="13">
        <f t="shared" si="59"/>
        <v>0</v>
      </c>
      <c r="AE57" s="13">
        <f t="shared" si="59"/>
        <v>0</v>
      </c>
      <c r="AF57" s="13">
        <f t="shared" si="59"/>
        <v>0</v>
      </c>
      <c r="AG57" s="13">
        <f t="shared" si="59"/>
        <v>0</v>
      </c>
      <c r="AH57" s="13">
        <f t="shared" si="59"/>
        <v>0</v>
      </c>
      <c r="AI57" s="13">
        <f>SUM(AI54:AI56)</f>
        <v>-51157</v>
      </c>
      <c r="AJ57" s="28"/>
      <c r="AK57" s="28"/>
      <c r="AL57" s="28"/>
      <c r="AM57" s="28"/>
      <c r="AN57" s="28"/>
    </row>
    <row r="58" spans="1:51" s="35" customFormat="1">
      <c r="A58" s="87" t="s">
        <v>89</v>
      </c>
      <c r="B58" s="42" t="s">
        <v>4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8"/>
      <c r="AG58" s="37"/>
      <c r="AH58" s="37"/>
      <c r="AI58" s="38">
        <v>0</v>
      </c>
      <c r="AJ58" s="36"/>
      <c r="AK58" s="36"/>
      <c r="AL58" s="36"/>
      <c r="AM58" s="36"/>
      <c r="AN58" s="36"/>
    </row>
    <row r="59" spans="1:51" s="35" customFormat="1">
      <c r="A59" s="87" t="s">
        <v>90</v>
      </c>
      <c r="B59" s="4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8"/>
      <c r="AG59" s="37"/>
      <c r="AH59" s="37"/>
      <c r="AI59" s="38">
        <v>20401</v>
      </c>
      <c r="AJ59" s="36"/>
      <c r="AK59" s="36"/>
      <c r="AL59" s="36"/>
      <c r="AM59" s="36"/>
      <c r="AN59" s="36"/>
    </row>
    <row r="60" spans="1:51" s="31" customFormat="1">
      <c r="A60" s="29" t="s">
        <v>92</v>
      </c>
      <c r="B60" s="29" t="s">
        <v>4</v>
      </c>
      <c r="C60" s="13">
        <f t="shared" ref="C60:AH60" si="60">SUM(C57:C59,C53)</f>
        <v>0</v>
      </c>
      <c r="D60" s="13">
        <f t="shared" si="60"/>
        <v>0</v>
      </c>
      <c r="E60" s="13">
        <f t="shared" si="60"/>
        <v>0</v>
      </c>
      <c r="F60" s="13">
        <f t="shared" si="60"/>
        <v>0</v>
      </c>
      <c r="G60" s="13">
        <f t="shared" si="60"/>
        <v>0</v>
      </c>
      <c r="H60" s="13">
        <f t="shared" si="60"/>
        <v>0</v>
      </c>
      <c r="I60" s="13">
        <f t="shared" si="60"/>
        <v>0</v>
      </c>
      <c r="J60" s="13">
        <f t="shared" si="60"/>
        <v>0</v>
      </c>
      <c r="K60" s="13">
        <f t="shared" si="60"/>
        <v>0</v>
      </c>
      <c r="L60" s="13">
        <f t="shared" si="60"/>
        <v>0</v>
      </c>
      <c r="M60" s="13">
        <f t="shared" si="60"/>
        <v>0</v>
      </c>
      <c r="N60" s="13">
        <f t="shared" si="60"/>
        <v>0</v>
      </c>
      <c r="O60" s="13">
        <f t="shared" si="60"/>
        <v>0</v>
      </c>
      <c r="P60" s="13">
        <f t="shared" si="60"/>
        <v>0</v>
      </c>
      <c r="Q60" s="13">
        <f t="shared" si="60"/>
        <v>0</v>
      </c>
      <c r="R60" s="13">
        <f t="shared" si="60"/>
        <v>0</v>
      </c>
      <c r="S60" s="13">
        <f t="shared" si="60"/>
        <v>0</v>
      </c>
      <c r="T60" s="13">
        <f t="shared" si="60"/>
        <v>0</v>
      </c>
      <c r="U60" s="13">
        <f t="shared" si="60"/>
        <v>0</v>
      </c>
      <c r="V60" s="13">
        <f t="shared" si="60"/>
        <v>0</v>
      </c>
      <c r="W60" s="13">
        <f t="shared" si="60"/>
        <v>0</v>
      </c>
      <c r="X60" s="13">
        <f t="shared" si="60"/>
        <v>0</v>
      </c>
      <c r="Y60" s="13">
        <f t="shared" si="60"/>
        <v>0</v>
      </c>
      <c r="Z60" s="13">
        <f t="shared" si="60"/>
        <v>0</v>
      </c>
      <c r="AA60" s="13">
        <f t="shared" si="60"/>
        <v>0</v>
      </c>
      <c r="AB60" s="13">
        <f t="shared" si="60"/>
        <v>0</v>
      </c>
      <c r="AC60" s="13">
        <f t="shared" si="60"/>
        <v>0</v>
      </c>
      <c r="AD60" s="13">
        <f t="shared" si="60"/>
        <v>0</v>
      </c>
      <c r="AE60" s="13">
        <f t="shared" si="60"/>
        <v>0</v>
      </c>
      <c r="AF60" s="13">
        <f t="shared" si="60"/>
        <v>0</v>
      </c>
      <c r="AG60" s="13">
        <f t="shared" si="60"/>
        <v>0</v>
      </c>
      <c r="AH60" s="13">
        <f t="shared" si="60"/>
        <v>0</v>
      </c>
      <c r="AI60" s="13">
        <f>SUM(AI57:AI59,AI53)</f>
        <v>153238</v>
      </c>
      <c r="AJ60" s="28"/>
      <c r="AK60" s="28"/>
      <c r="AL60" s="28"/>
      <c r="AM60" s="28"/>
      <c r="AN60" s="28"/>
    </row>
    <row r="61" spans="1:51">
      <c r="A61" s="88" t="s">
        <v>93</v>
      </c>
      <c r="B61" t="s">
        <v>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2">
        <v>-2144</v>
      </c>
      <c r="AJ61" s="36"/>
      <c r="AK61" s="36"/>
      <c r="AL61" s="36"/>
      <c r="AM61" s="36"/>
      <c r="AN61" s="36"/>
    </row>
    <row r="62" spans="1:51">
      <c r="A62" s="88" t="s">
        <v>94</v>
      </c>
      <c r="B62" t="s">
        <v>4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12">
        <v>4269</v>
      </c>
      <c r="AJ62" s="36"/>
      <c r="AK62" s="36"/>
      <c r="AL62" s="36"/>
      <c r="AM62" s="36"/>
      <c r="AN62" s="36"/>
      <c r="AQ62" s="59"/>
    </row>
    <row r="63" spans="1:51">
      <c r="A63" s="9" t="s">
        <v>95</v>
      </c>
      <c r="B63" t="s">
        <v>4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1"/>
      <c r="AG63" s="1"/>
      <c r="AH63" s="1"/>
      <c r="AI63" s="12">
        <v>-37681</v>
      </c>
      <c r="AJ63" s="36"/>
      <c r="AK63" s="36"/>
      <c r="AL63" s="36"/>
      <c r="AM63" s="36"/>
      <c r="AN63" s="36"/>
      <c r="AO63" s="36"/>
      <c r="AP63" s="36"/>
      <c r="AQ63" s="36"/>
      <c r="AR63" s="36"/>
      <c r="AS63" s="17"/>
      <c r="AT63" s="17"/>
      <c r="AU63" s="17"/>
      <c r="AV63" s="17"/>
      <c r="AW63" s="17"/>
      <c r="AX63" s="17"/>
      <c r="AY63" s="17"/>
    </row>
    <row r="64" spans="1:51" s="19" customFormat="1">
      <c r="A64" s="21" t="s">
        <v>3</v>
      </c>
      <c r="B64" s="6" t="s">
        <v>4</v>
      </c>
      <c r="C64" s="13">
        <f t="shared" ref="C64:AH64" si="61">SUM(C61:C63)</f>
        <v>0</v>
      </c>
      <c r="D64" s="13">
        <f t="shared" si="61"/>
        <v>0</v>
      </c>
      <c r="E64" s="13">
        <f t="shared" si="61"/>
        <v>0</v>
      </c>
      <c r="F64" s="13">
        <f t="shared" si="61"/>
        <v>0</v>
      </c>
      <c r="G64" s="13">
        <f t="shared" si="61"/>
        <v>0</v>
      </c>
      <c r="H64" s="13">
        <f t="shared" si="61"/>
        <v>0</v>
      </c>
      <c r="I64" s="13">
        <f t="shared" si="61"/>
        <v>0</v>
      </c>
      <c r="J64" s="13">
        <f t="shared" si="61"/>
        <v>0</v>
      </c>
      <c r="K64" s="13">
        <f t="shared" si="61"/>
        <v>0</v>
      </c>
      <c r="L64" s="13">
        <f t="shared" si="61"/>
        <v>0</v>
      </c>
      <c r="M64" s="13">
        <f t="shared" si="61"/>
        <v>0</v>
      </c>
      <c r="N64" s="13">
        <f t="shared" si="61"/>
        <v>0</v>
      </c>
      <c r="O64" s="13">
        <f t="shared" si="61"/>
        <v>0</v>
      </c>
      <c r="P64" s="13">
        <f t="shared" si="61"/>
        <v>0</v>
      </c>
      <c r="Q64" s="13">
        <f t="shared" si="61"/>
        <v>0</v>
      </c>
      <c r="R64" s="13">
        <f t="shared" si="61"/>
        <v>0</v>
      </c>
      <c r="S64" s="13">
        <f t="shared" si="61"/>
        <v>0</v>
      </c>
      <c r="T64" s="13">
        <f t="shared" si="61"/>
        <v>0</v>
      </c>
      <c r="U64" s="13">
        <f t="shared" si="61"/>
        <v>0</v>
      </c>
      <c r="V64" s="13">
        <f t="shared" si="61"/>
        <v>0</v>
      </c>
      <c r="W64" s="13">
        <f t="shared" si="61"/>
        <v>0</v>
      </c>
      <c r="X64" s="13">
        <f t="shared" si="61"/>
        <v>0</v>
      </c>
      <c r="Y64" s="13">
        <f t="shared" si="61"/>
        <v>0</v>
      </c>
      <c r="Z64" s="13">
        <f t="shared" si="61"/>
        <v>0</v>
      </c>
      <c r="AA64" s="13">
        <f t="shared" si="61"/>
        <v>0</v>
      </c>
      <c r="AB64" s="13">
        <f t="shared" si="61"/>
        <v>0</v>
      </c>
      <c r="AC64" s="13">
        <f t="shared" si="61"/>
        <v>0</v>
      </c>
      <c r="AD64" s="13">
        <f t="shared" si="61"/>
        <v>0</v>
      </c>
      <c r="AE64" s="13">
        <f t="shared" si="61"/>
        <v>0</v>
      </c>
      <c r="AF64" s="13">
        <f t="shared" si="61"/>
        <v>0</v>
      </c>
      <c r="AG64" s="13">
        <f t="shared" si="61"/>
        <v>0</v>
      </c>
      <c r="AH64" s="13">
        <f t="shared" si="61"/>
        <v>0</v>
      </c>
      <c r="AI64" s="13">
        <f>SUM(AI61:AI63)</f>
        <v>-35556</v>
      </c>
      <c r="AJ64" s="43"/>
      <c r="AK64" s="43"/>
      <c r="AL64" s="43"/>
      <c r="AM64" s="43"/>
      <c r="AN64" s="43"/>
      <c r="AO64" s="52"/>
      <c r="AP64" s="52"/>
      <c r="AQ64" s="52"/>
      <c r="AR64" s="52"/>
    </row>
    <row r="65" spans="1:40">
      <c r="A65" s="6" t="s">
        <v>96</v>
      </c>
      <c r="B65" s="6" t="s">
        <v>4</v>
      </c>
      <c r="C65" s="13">
        <f t="shared" ref="C65:AH65" si="62">SUM(C64,C60)</f>
        <v>0</v>
      </c>
      <c r="D65" s="13">
        <f t="shared" si="62"/>
        <v>0</v>
      </c>
      <c r="E65" s="13">
        <f t="shared" si="62"/>
        <v>0</v>
      </c>
      <c r="F65" s="13">
        <f t="shared" si="62"/>
        <v>0</v>
      </c>
      <c r="G65" s="13">
        <f t="shared" si="62"/>
        <v>0</v>
      </c>
      <c r="H65" s="13">
        <f t="shared" si="62"/>
        <v>0</v>
      </c>
      <c r="I65" s="13">
        <f t="shared" si="62"/>
        <v>0</v>
      </c>
      <c r="J65" s="13">
        <f t="shared" si="62"/>
        <v>0</v>
      </c>
      <c r="K65" s="13">
        <f t="shared" si="62"/>
        <v>0</v>
      </c>
      <c r="L65" s="13">
        <f t="shared" si="62"/>
        <v>0</v>
      </c>
      <c r="M65" s="13">
        <f t="shared" si="62"/>
        <v>0</v>
      </c>
      <c r="N65" s="13">
        <f t="shared" si="62"/>
        <v>0</v>
      </c>
      <c r="O65" s="13">
        <f t="shared" si="62"/>
        <v>0</v>
      </c>
      <c r="P65" s="13">
        <f t="shared" si="62"/>
        <v>0</v>
      </c>
      <c r="Q65" s="13">
        <f t="shared" si="62"/>
        <v>0</v>
      </c>
      <c r="R65" s="13">
        <f t="shared" si="62"/>
        <v>0</v>
      </c>
      <c r="S65" s="13">
        <f t="shared" si="62"/>
        <v>0</v>
      </c>
      <c r="T65" s="13">
        <f t="shared" si="62"/>
        <v>0</v>
      </c>
      <c r="U65" s="13">
        <f t="shared" si="62"/>
        <v>0</v>
      </c>
      <c r="V65" s="13">
        <f t="shared" si="62"/>
        <v>0</v>
      </c>
      <c r="W65" s="13">
        <f t="shared" si="62"/>
        <v>0</v>
      </c>
      <c r="X65" s="13">
        <f t="shared" si="62"/>
        <v>0</v>
      </c>
      <c r="Y65" s="13">
        <f t="shared" si="62"/>
        <v>0</v>
      </c>
      <c r="Z65" s="13">
        <f t="shared" si="62"/>
        <v>0</v>
      </c>
      <c r="AA65" s="13">
        <f t="shared" si="62"/>
        <v>0</v>
      </c>
      <c r="AB65" s="13">
        <f t="shared" si="62"/>
        <v>0</v>
      </c>
      <c r="AC65" s="13">
        <f t="shared" si="62"/>
        <v>0</v>
      </c>
      <c r="AD65" s="13">
        <f t="shared" si="62"/>
        <v>0</v>
      </c>
      <c r="AE65" s="13">
        <f t="shared" si="62"/>
        <v>0</v>
      </c>
      <c r="AF65" s="13">
        <f t="shared" si="62"/>
        <v>0</v>
      </c>
      <c r="AG65" s="13">
        <f t="shared" si="62"/>
        <v>0</v>
      </c>
      <c r="AH65" s="13">
        <f t="shared" si="62"/>
        <v>0</v>
      </c>
      <c r="AI65" s="13">
        <f>SUM(AI64,AI60)</f>
        <v>117682</v>
      </c>
      <c r="AJ65" s="36"/>
      <c r="AK65" s="36"/>
      <c r="AL65" s="36"/>
      <c r="AM65" s="36"/>
      <c r="AN65" s="36"/>
    </row>
    <row r="66" spans="1:40">
      <c r="A66" s="16" t="s">
        <v>97</v>
      </c>
      <c r="B66" s="16" t="s">
        <v>4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89"/>
      <c r="AF66" s="89"/>
      <c r="AG66" s="89"/>
      <c r="AH66" s="89"/>
      <c r="AI66" s="58">
        <v>618</v>
      </c>
      <c r="AJ66" s="36"/>
      <c r="AK66" s="36"/>
      <c r="AL66" s="36"/>
      <c r="AM66" s="36"/>
      <c r="AN66" s="36"/>
    </row>
    <row r="67" spans="1:40">
      <c r="A67" s="6" t="s">
        <v>98</v>
      </c>
      <c r="B67" s="6" t="s">
        <v>4</v>
      </c>
      <c r="C67" s="13">
        <f t="shared" ref="C67:AH67" si="63">SUM(C65:C66)</f>
        <v>0</v>
      </c>
      <c r="D67" s="13">
        <f t="shared" si="63"/>
        <v>0</v>
      </c>
      <c r="E67" s="13">
        <f t="shared" si="63"/>
        <v>0</v>
      </c>
      <c r="F67" s="13">
        <f t="shared" si="63"/>
        <v>0</v>
      </c>
      <c r="G67" s="13">
        <f t="shared" si="63"/>
        <v>0</v>
      </c>
      <c r="H67" s="13">
        <f t="shared" si="63"/>
        <v>0</v>
      </c>
      <c r="I67" s="13">
        <f t="shared" si="63"/>
        <v>0</v>
      </c>
      <c r="J67" s="13">
        <f t="shared" si="63"/>
        <v>0</v>
      </c>
      <c r="K67" s="13">
        <f t="shared" si="63"/>
        <v>0</v>
      </c>
      <c r="L67" s="13">
        <f t="shared" si="63"/>
        <v>0</v>
      </c>
      <c r="M67" s="13">
        <f t="shared" si="63"/>
        <v>0</v>
      </c>
      <c r="N67" s="13">
        <f t="shared" si="63"/>
        <v>0</v>
      </c>
      <c r="O67" s="13">
        <f t="shared" si="63"/>
        <v>0</v>
      </c>
      <c r="P67" s="13">
        <f t="shared" si="63"/>
        <v>0</v>
      </c>
      <c r="Q67" s="13">
        <f t="shared" si="63"/>
        <v>0</v>
      </c>
      <c r="R67" s="13">
        <f t="shared" si="63"/>
        <v>0</v>
      </c>
      <c r="S67" s="13">
        <f t="shared" si="63"/>
        <v>0</v>
      </c>
      <c r="T67" s="13">
        <f t="shared" si="63"/>
        <v>0</v>
      </c>
      <c r="U67" s="13">
        <f t="shared" si="63"/>
        <v>0</v>
      </c>
      <c r="V67" s="13">
        <f t="shared" si="63"/>
        <v>0</v>
      </c>
      <c r="W67" s="13">
        <f t="shared" si="63"/>
        <v>0</v>
      </c>
      <c r="X67" s="13">
        <f t="shared" si="63"/>
        <v>0</v>
      </c>
      <c r="Y67" s="13">
        <f t="shared" si="63"/>
        <v>0</v>
      </c>
      <c r="Z67" s="13">
        <f t="shared" si="63"/>
        <v>0</v>
      </c>
      <c r="AA67" s="13">
        <f t="shared" si="63"/>
        <v>0</v>
      </c>
      <c r="AB67" s="13">
        <f t="shared" si="63"/>
        <v>0</v>
      </c>
      <c r="AC67" s="13">
        <f t="shared" si="63"/>
        <v>0</v>
      </c>
      <c r="AD67" s="13">
        <f t="shared" si="63"/>
        <v>0</v>
      </c>
      <c r="AE67" s="13">
        <f t="shared" si="63"/>
        <v>0</v>
      </c>
      <c r="AF67" s="13">
        <f t="shared" si="63"/>
        <v>0</v>
      </c>
      <c r="AG67" s="13">
        <f t="shared" si="63"/>
        <v>0</v>
      </c>
      <c r="AH67" s="13">
        <f t="shared" si="63"/>
        <v>0</v>
      </c>
      <c r="AI67" s="13">
        <f>SUM(AI65:AI66)</f>
        <v>118300</v>
      </c>
      <c r="AJ67" s="36"/>
      <c r="AK67" s="36"/>
      <c r="AL67" s="36"/>
      <c r="AM67" s="36"/>
      <c r="AN67" s="36"/>
    </row>
    <row r="68" spans="1:40">
      <c r="A68" s="9" t="s">
        <v>99</v>
      </c>
      <c r="B68" s="16" t="s">
        <v>4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7"/>
      <c r="AG68" s="17"/>
      <c r="AH68" s="17"/>
      <c r="AI68" s="12">
        <v>97099</v>
      </c>
      <c r="AJ68" s="36"/>
      <c r="AK68" s="36"/>
      <c r="AL68" s="36"/>
      <c r="AM68" s="36"/>
      <c r="AN68" s="36"/>
    </row>
    <row r="69" spans="1:40">
      <c r="A69" s="9" t="s">
        <v>100</v>
      </c>
      <c r="B69" s="16" t="s">
        <v>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>
        <v>21201</v>
      </c>
      <c r="AJ69" s="36"/>
      <c r="AL69" s="36"/>
      <c r="AM69" s="36"/>
      <c r="AN69" s="36"/>
    </row>
    <row r="70" spans="1:40">
      <c r="A70" s="10"/>
      <c r="B70" s="1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4"/>
      <c r="AJ70" s="36"/>
      <c r="AK70" s="36"/>
      <c r="AL70" s="36"/>
      <c r="AM70" s="36"/>
      <c r="AN70" s="36"/>
    </row>
    <row r="71" spans="1:40">
      <c r="A71" s="16"/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5"/>
      <c r="AJ71" s="36"/>
      <c r="AK71" s="36"/>
      <c r="AL71" s="36"/>
      <c r="AM71" s="36"/>
      <c r="AN71" s="36"/>
    </row>
    <row r="72" spans="1:40">
      <c r="A72" s="76" t="s">
        <v>7</v>
      </c>
      <c r="B72" s="77"/>
      <c r="C72" s="78"/>
      <c r="D72" s="78"/>
      <c r="E72" s="78"/>
      <c r="F72" s="78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8"/>
    </row>
    <row r="73" spans="1:40">
      <c r="A73" s="16" t="s">
        <v>102</v>
      </c>
      <c r="B73" s="16" t="s">
        <v>4</v>
      </c>
      <c r="C73" s="12">
        <f t="shared" ref="C73" si="64">C65</f>
        <v>0</v>
      </c>
      <c r="D73" s="12">
        <f t="shared" ref="D73:AH73" si="65">D65</f>
        <v>0</v>
      </c>
      <c r="E73" s="12">
        <f t="shared" si="65"/>
        <v>0</v>
      </c>
      <c r="F73" s="12">
        <f t="shared" si="65"/>
        <v>0</v>
      </c>
      <c r="G73" s="12">
        <f t="shared" si="65"/>
        <v>0</v>
      </c>
      <c r="H73" s="12">
        <f t="shared" si="65"/>
        <v>0</v>
      </c>
      <c r="I73" s="12">
        <f t="shared" si="65"/>
        <v>0</v>
      </c>
      <c r="J73" s="12">
        <f t="shared" si="65"/>
        <v>0</v>
      </c>
      <c r="K73" s="12">
        <f t="shared" si="65"/>
        <v>0</v>
      </c>
      <c r="L73" s="12">
        <f t="shared" si="65"/>
        <v>0</v>
      </c>
      <c r="M73" s="12">
        <f t="shared" si="65"/>
        <v>0</v>
      </c>
      <c r="N73" s="12">
        <f t="shared" si="65"/>
        <v>0</v>
      </c>
      <c r="O73" s="12">
        <f t="shared" si="65"/>
        <v>0</v>
      </c>
      <c r="P73" s="12">
        <f t="shared" si="65"/>
        <v>0</v>
      </c>
      <c r="Q73" s="12">
        <f t="shared" si="65"/>
        <v>0</v>
      </c>
      <c r="R73" s="12">
        <f t="shared" si="65"/>
        <v>0</v>
      </c>
      <c r="S73" s="12">
        <f t="shared" si="65"/>
        <v>0</v>
      </c>
      <c r="T73" s="12">
        <f t="shared" si="65"/>
        <v>0</v>
      </c>
      <c r="U73" s="12">
        <f t="shared" si="65"/>
        <v>0</v>
      </c>
      <c r="V73" s="12">
        <f t="shared" si="65"/>
        <v>0</v>
      </c>
      <c r="W73" s="12">
        <f t="shared" si="65"/>
        <v>0</v>
      </c>
      <c r="X73" s="12">
        <f t="shared" si="65"/>
        <v>0</v>
      </c>
      <c r="Y73" s="12">
        <f t="shared" si="65"/>
        <v>0</v>
      </c>
      <c r="Z73" s="12">
        <f t="shared" si="65"/>
        <v>0</v>
      </c>
      <c r="AA73" s="12">
        <f t="shared" si="65"/>
        <v>0</v>
      </c>
      <c r="AB73" s="12">
        <f t="shared" si="65"/>
        <v>0</v>
      </c>
      <c r="AC73" s="12">
        <f t="shared" si="65"/>
        <v>0</v>
      </c>
      <c r="AD73" s="12">
        <f t="shared" si="65"/>
        <v>0</v>
      </c>
      <c r="AE73" s="12">
        <f t="shared" si="65"/>
        <v>0</v>
      </c>
      <c r="AF73" s="12">
        <f t="shared" si="65"/>
        <v>0</v>
      </c>
      <c r="AG73" s="12">
        <f t="shared" si="65"/>
        <v>0</v>
      </c>
      <c r="AH73" s="12">
        <f t="shared" si="65"/>
        <v>0</v>
      </c>
      <c r="AI73" s="12">
        <f>AI65</f>
        <v>117682</v>
      </c>
      <c r="AJ73" s="36"/>
      <c r="AK73" s="36"/>
      <c r="AL73" s="36"/>
      <c r="AM73" s="36"/>
      <c r="AN73" s="36"/>
    </row>
    <row r="74" spans="1:40">
      <c r="A74" s="16" t="s">
        <v>103</v>
      </c>
      <c r="B74" s="16" t="s">
        <v>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2">
        <v>66238</v>
      </c>
      <c r="AJ74" s="36"/>
      <c r="AK74" s="36"/>
      <c r="AL74" s="36"/>
      <c r="AM74" s="36"/>
      <c r="AN74" s="36"/>
    </row>
    <row r="75" spans="1:40">
      <c r="A75" s="16" t="s">
        <v>104</v>
      </c>
      <c r="B75" s="16" t="s">
        <v>4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7"/>
      <c r="Y75" s="17"/>
      <c r="Z75" s="17"/>
      <c r="AA75" s="17"/>
      <c r="AB75" s="17"/>
      <c r="AC75" s="17"/>
      <c r="AD75" s="17"/>
      <c r="AE75" s="17"/>
      <c r="AF75" s="12"/>
      <c r="AG75" s="12"/>
      <c r="AH75" s="12"/>
      <c r="AI75" s="12">
        <v>28836</v>
      </c>
      <c r="AJ75" s="36"/>
      <c r="AK75" s="36"/>
      <c r="AL75" s="36"/>
      <c r="AM75" s="36"/>
      <c r="AN75" s="36"/>
    </row>
    <row r="76" spans="1:40">
      <c r="A76" s="16" t="s">
        <v>105</v>
      </c>
      <c r="B76" s="16" t="s">
        <v>4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2"/>
      <c r="V76" s="12"/>
      <c r="W76" s="12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5">
        <v>0</v>
      </c>
      <c r="AJ76" s="36"/>
      <c r="AK76" s="36"/>
      <c r="AL76" s="36"/>
      <c r="AM76" s="36"/>
      <c r="AN76" s="36"/>
    </row>
    <row r="77" spans="1:40">
      <c r="A77" s="16" t="s">
        <v>106</v>
      </c>
      <c r="B77" s="16" t="s">
        <v>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2"/>
      <c r="V77" s="12"/>
      <c r="W77" s="12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5">
        <v>1183</v>
      </c>
      <c r="AJ77" s="36"/>
      <c r="AK77" s="36"/>
      <c r="AL77" s="36"/>
      <c r="AM77" s="36"/>
      <c r="AN77" s="36"/>
    </row>
    <row r="78" spans="1:40">
      <c r="A78" s="16" t="s">
        <v>107</v>
      </c>
      <c r="B78" s="16" t="s">
        <v>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5">
        <v>-3047</v>
      </c>
      <c r="AJ78" s="36"/>
      <c r="AK78" s="36"/>
      <c r="AL78" s="36"/>
      <c r="AM78" s="36"/>
      <c r="AN78" s="36"/>
    </row>
    <row r="79" spans="1:40">
      <c r="A79" s="16" t="s">
        <v>108</v>
      </c>
      <c r="B79" s="16" t="s">
        <v>4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7"/>
      <c r="AG79" s="17"/>
      <c r="AH79" s="12"/>
      <c r="AI79" s="15">
        <v>1354</v>
      </c>
      <c r="AJ79" s="36"/>
      <c r="AK79" s="36"/>
      <c r="AL79" s="36"/>
      <c r="AM79" s="36"/>
      <c r="AN79" s="36"/>
    </row>
    <row r="80" spans="1:40">
      <c r="A80" s="16" t="s">
        <v>109</v>
      </c>
      <c r="B80" s="16" t="s">
        <v>4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5"/>
      <c r="R80" s="15"/>
      <c r="S80" s="15"/>
      <c r="T80" s="15"/>
      <c r="U80" s="12"/>
      <c r="V80" s="12"/>
      <c r="W80" s="12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5">
        <v>32518</v>
      </c>
      <c r="AJ80" s="36"/>
      <c r="AK80" s="36"/>
      <c r="AL80" s="36"/>
      <c r="AM80" s="36"/>
      <c r="AN80" s="36"/>
    </row>
    <row r="81" spans="1:40">
      <c r="A81" s="16" t="s">
        <v>110</v>
      </c>
      <c r="B81" s="16" t="s">
        <v>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7"/>
      <c r="AF81" s="17"/>
      <c r="AG81" s="17"/>
      <c r="AH81" s="17"/>
      <c r="AI81" s="5">
        <v>-5225</v>
      </c>
      <c r="AJ81" s="36"/>
      <c r="AK81" s="36"/>
      <c r="AL81" s="36"/>
      <c r="AM81" s="36"/>
      <c r="AN81" s="36"/>
    </row>
    <row r="82" spans="1:40">
      <c r="A82" s="16" t="s">
        <v>111</v>
      </c>
      <c r="B82" s="16" t="s">
        <v>4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5"/>
      <c r="R82" s="15"/>
      <c r="S82" s="15"/>
      <c r="T82" s="15"/>
      <c r="U82" s="15"/>
      <c r="V82" s="15"/>
      <c r="W82" s="15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5">
        <v>108</v>
      </c>
      <c r="AJ82" s="36"/>
      <c r="AK82" s="36"/>
      <c r="AL82" s="36"/>
      <c r="AM82" s="36"/>
      <c r="AN82" s="36"/>
    </row>
    <row r="83" spans="1:40">
      <c r="A83" s="16" t="s">
        <v>112</v>
      </c>
      <c r="B83" s="16" t="s">
        <v>4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2"/>
      <c r="V83" s="12"/>
      <c r="W83" s="12"/>
      <c r="X83" s="17"/>
      <c r="Y83" s="12"/>
      <c r="Z83" s="12"/>
      <c r="AA83" s="12"/>
      <c r="AB83" s="12"/>
      <c r="AC83" s="12"/>
      <c r="AD83" s="12"/>
      <c r="AE83" s="12"/>
      <c r="AF83" s="12"/>
      <c r="AG83" s="12"/>
      <c r="AH83" s="17"/>
      <c r="AI83" s="15">
        <v>-6789</v>
      </c>
      <c r="AJ83" s="36"/>
      <c r="AK83" s="36"/>
      <c r="AL83" s="36"/>
      <c r="AM83" s="36"/>
      <c r="AN83" s="36"/>
    </row>
    <row r="84" spans="1:40">
      <c r="A84" s="9" t="s">
        <v>113</v>
      </c>
      <c r="B84" s="16" t="s">
        <v>4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7"/>
      <c r="AG84" s="17"/>
      <c r="AH84" s="17"/>
      <c r="AI84" s="15">
        <v>23807</v>
      </c>
      <c r="AJ84" s="36"/>
      <c r="AK84" s="36"/>
      <c r="AL84" s="36"/>
      <c r="AM84" s="36"/>
      <c r="AN84" s="36"/>
    </row>
    <row r="85" spans="1:40">
      <c r="A85" s="9" t="s">
        <v>114</v>
      </c>
      <c r="B85" s="16" t="s">
        <v>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5"/>
      <c r="T85" s="15"/>
      <c r="U85" s="12"/>
      <c r="V85" s="12"/>
      <c r="W85" s="12"/>
      <c r="X85" s="12"/>
      <c r="Y85" s="17"/>
      <c r="Z85" s="17"/>
      <c r="AA85" s="17"/>
      <c r="AB85" s="17"/>
      <c r="AC85" s="17"/>
      <c r="AD85" s="15"/>
      <c r="AE85" s="17"/>
      <c r="AF85" s="17"/>
      <c r="AG85" s="17"/>
      <c r="AH85" s="17"/>
      <c r="AI85" s="5">
        <v>-42481</v>
      </c>
      <c r="AJ85" s="36"/>
      <c r="AK85" s="36"/>
      <c r="AL85" s="36"/>
      <c r="AM85" s="36"/>
      <c r="AN85" s="36"/>
    </row>
    <row r="86" spans="1:40">
      <c r="A86" s="9" t="s">
        <v>115</v>
      </c>
      <c r="B86" s="16" t="s">
        <v>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2"/>
      <c r="V86" s="12"/>
      <c r="W86" s="12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5">
        <v>-50441</v>
      </c>
      <c r="AJ86" s="36"/>
      <c r="AK86" s="36"/>
      <c r="AL86" s="36"/>
      <c r="AM86" s="36"/>
      <c r="AN86" s="36"/>
    </row>
    <row r="87" spans="1:40">
      <c r="A87" s="9" t="s">
        <v>39</v>
      </c>
      <c r="B87" s="16" t="s">
        <v>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12"/>
      <c r="W87" s="5"/>
      <c r="X87" s="12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5">
        <v>-4236</v>
      </c>
      <c r="AJ87" s="36"/>
      <c r="AK87" s="36"/>
      <c r="AL87" s="36"/>
      <c r="AM87" s="36"/>
      <c r="AN87" s="36"/>
    </row>
    <row r="88" spans="1:40">
      <c r="A88" s="9" t="s">
        <v>116</v>
      </c>
      <c r="B88" s="16" t="s">
        <v>4</v>
      </c>
      <c r="C88" s="15"/>
      <c r="D88" s="15"/>
      <c r="E88" s="15"/>
      <c r="F88" s="15"/>
      <c r="G88" s="15"/>
      <c r="H88" s="24"/>
      <c r="I88" s="24"/>
      <c r="J88" s="23"/>
      <c r="K88" s="23"/>
      <c r="L88" s="12"/>
      <c r="M88" s="12"/>
      <c r="N88" s="12"/>
      <c r="O88" s="12"/>
      <c r="P88" s="2"/>
      <c r="Q88" s="17"/>
      <c r="R88" s="17"/>
      <c r="S88" s="17"/>
      <c r="T88" s="17"/>
      <c r="U88" s="12"/>
      <c r="V88" s="12"/>
      <c r="W88" s="12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2">
        <v>934</v>
      </c>
      <c r="AJ88" s="36"/>
      <c r="AK88" s="36"/>
      <c r="AL88" s="36"/>
      <c r="AM88" s="36"/>
      <c r="AN88" s="36"/>
    </row>
    <row r="89" spans="1:40">
      <c r="A89" s="16" t="s">
        <v>117</v>
      </c>
      <c r="B89" s="16" t="s">
        <v>4</v>
      </c>
      <c r="C89" s="15">
        <f t="shared" ref="C89:AH89" si="66">SUM(C84:C88)</f>
        <v>0</v>
      </c>
      <c r="D89" s="15">
        <f t="shared" si="66"/>
        <v>0</v>
      </c>
      <c r="E89" s="15">
        <f t="shared" si="66"/>
        <v>0</v>
      </c>
      <c r="F89" s="15">
        <f t="shared" si="66"/>
        <v>0</v>
      </c>
      <c r="G89" s="15">
        <f t="shared" si="66"/>
        <v>0</v>
      </c>
      <c r="H89" s="15">
        <f t="shared" si="66"/>
        <v>0</v>
      </c>
      <c r="I89" s="15">
        <f t="shared" si="66"/>
        <v>0</v>
      </c>
      <c r="J89" s="15">
        <f t="shared" si="66"/>
        <v>0</v>
      </c>
      <c r="K89" s="15">
        <f t="shared" si="66"/>
        <v>0</v>
      </c>
      <c r="L89" s="15">
        <f t="shared" si="66"/>
        <v>0</v>
      </c>
      <c r="M89" s="15">
        <f t="shared" si="66"/>
        <v>0</v>
      </c>
      <c r="N89" s="15">
        <f t="shared" si="66"/>
        <v>0</v>
      </c>
      <c r="O89" s="15">
        <f t="shared" si="66"/>
        <v>0</v>
      </c>
      <c r="P89" s="15">
        <f t="shared" si="66"/>
        <v>0</v>
      </c>
      <c r="Q89" s="15">
        <f t="shared" si="66"/>
        <v>0</v>
      </c>
      <c r="R89" s="15">
        <f t="shared" si="66"/>
        <v>0</v>
      </c>
      <c r="S89" s="15">
        <f t="shared" si="66"/>
        <v>0</v>
      </c>
      <c r="T89" s="15">
        <f t="shared" si="66"/>
        <v>0</v>
      </c>
      <c r="U89" s="15">
        <f t="shared" si="66"/>
        <v>0</v>
      </c>
      <c r="V89" s="15">
        <f t="shared" si="66"/>
        <v>0</v>
      </c>
      <c r="W89" s="15">
        <f t="shared" si="66"/>
        <v>0</v>
      </c>
      <c r="X89" s="15">
        <f t="shared" si="66"/>
        <v>0</v>
      </c>
      <c r="Y89" s="15">
        <f t="shared" si="66"/>
        <v>0</v>
      </c>
      <c r="Z89" s="15">
        <f t="shared" si="66"/>
        <v>0</v>
      </c>
      <c r="AA89" s="15">
        <f t="shared" si="66"/>
        <v>0</v>
      </c>
      <c r="AB89" s="15">
        <f t="shared" si="66"/>
        <v>0</v>
      </c>
      <c r="AC89" s="15">
        <f t="shared" si="66"/>
        <v>0</v>
      </c>
      <c r="AD89" s="15">
        <f t="shared" si="66"/>
        <v>0</v>
      </c>
      <c r="AE89" s="15">
        <f t="shared" si="66"/>
        <v>0</v>
      </c>
      <c r="AF89" s="15">
        <f t="shared" si="66"/>
        <v>0</v>
      </c>
      <c r="AG89" s="15">
        <f t="shared" si="66"/>
        <v>0</v>
      </c>
      <c r="AH89" s="15">
        <f t="shared" si="66"/>
        <v>0</v>
      </c>
      <c r="AI89" s="15">
        <f>SUM(AI84:AI88)</f>
        <v>-72417</v>
      </c>
      <c r="AJ89" s="36"/>
      <c r="AK89" s="36"/>
      <c r="AL89" s="36"/>
      <c r="AM89" s="36"/>
      <c r="AN89" s="36"/>
    </row>
    <row r="90" spans="1:40">
      <c r="A90" s="9" t="s">
        <v>113</v>
      </c>
      <c r="B90" s="16" t="s">
        <v>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7"/>
      <c r="AG90" s="12"/>
      <c r="AH90" s="12"/>
      <c r="AI90" s="12">
        <v>3818</v>
      </c>
      <c r="AJ90" s="36"/>
      <c r="AK90" s="36"/>
      <c r="AL90" s="36"/>
      <c r="AM90" s="36"/>
      <c r="AN90" s="36"/>
    </row>
    <row r="91" spans="1:40">
      <c r="A91" s="9" t="s">
        <v>16</v>
      </c>
      <c r="B91" s="16" t="s">
        <v>4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7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>
        <v>-17364</v>
      </c>
      <c r="AJ91" s="36"/>
      <c r="AK91" s="36"/>
      <c r="AL91" s="36"/>
      <c r="AM91" s="36"/>
      <c r="AN91" s="36"/>
    </row>
    <row r="92" spans="1:40">
      <c r="A92" s="9" t="s">
        <v>118</v>
      </c>
      <c r="B92" s="16" t="s">
        <v>4</v>
      </c>
      <c r="C92" s="12"/>
      <c r="D92" s="12"/>
      <c r="E92" s="12"/>
      <c r="F92" s="12"/>
      <c r="G92" s="12"/>
      <c r="H92" s="12"/>
      <c r="I92" s="12"/>
      <c r="J92" s="17"/>
      <c r="K92" s="12"/>
      <c r="L92" s="12"/>
      <c r="M92" s="12"/>
      <c r="N92" s="12"/>
      <c r="O92" s="12"/>
      <c r="P92" s="12"/>
      <c r="Q92" s="12"/>
      <c r="R92" s="12"/>
      <c r="S92" s="12"/>
      <c r="T92" s="5"/>
      <c r="U92" s="5"/>
      <c r="V92" s="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2">
        <v>2292</v>
      </c>
      <c r="AJ92" s="36"/>
      <c r="AK92" s="36"/>
      <c r="AL92" s="36"/>
      <c r="AM92" s="36"/>
      <c r="AN92" s="36"/>
    </row>
    <row r="93" spans="1:40">
      <c r="A93" s="9" t="s">
        <v>119</v>
      </c>
      <c r="B93" s="16" t="s">
        <v>4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7"/>
      <c r="V93" s="17"/>
      <c r="W93" s="12"/>
      <c r="X93" s="12"/>
      <c r="Y93" s="12"/>
      <c r="Z93" s="12"/>
      <c r="AA93" s="12"/>
      <c r="AB93" s="12"/>
      <c r="AC93" s="12"/>
      <c r="AD93" s="12"/>
      <c r="AE93" s="12"/>
      <c r="AF93" s="17"/>
      <c r="AG93" s="17"/>
      <c r="AH93" s="17"/>
      <c r="AI93" s="12">
        <v>-5445</v>
      </c>
      <c r="AJ93" s="36"/>
      <c r="AK93" s="36"/>
      <c r="AL93" s="36"/>
      <c r="AM93" s="36"/>
      <c r="AN93" s="36"/>
    </row>
    <row r="94" spans="1:40">
      <c r="A94" s="9" t="s">
        <v>120</v>
      </c>
      <c r="B94" s="16" t="s">
        <v>4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>
        <v>9481</v>
      </c>
      <c r="AJ94" s="36"/>
      <c r="AK94" s="36"/>
      <c r="AL94" s="36"/>
      <c r="AM94" s="36"/>
      <c r="AN94" s="36"/>
    </row>
    <row r="95" spans="1:40">
      <c r="A95" s="16" t="s">
        <v>121</v>
      </c>
      <c r="B95" s="16" t="s">
        <v>4</v>
      </c>
      <c r="C95" s="12">
        <f t="shared" ref="C95:AH95" si="67">SUM(C90:C94)</f>
        <v>0</v>
      </c>
      <c r="D95" s="12">
        <f t="shared" si="67"/>
        <v>0</v>
      </c>
      <c r="E95" s="12">
        <f t="shared" si="67"/>
        <v>0</v>
      </c>
      <c r="F95" s="12">
        <f t="shared" si="67"/>
        <v>0</v>
      </c>
      <c r="G95" s="12">
        <f t="shared" si="67"/>
        <v>0</v>
      </c>
      <c r="H95" s="12">
        <f t="shared" si="67"/>
        <v>0</v>
      </c>
      <c r="I95" s="12">
        <f t="shared" si="67"/>
        <v>0</v>
      </c>
      <c r="J95" s="12">
        <f t="shared" si="67"/>
        <v>0</v>
      </c>
      <c r="K95" s="12">
        <f t="shared" si="67"/>
        <v>0</v>
      </c>
      <c r="L95" s="12">
        <f t="shared" si="67"/>
        <v>0</v>
      </c>
      <c r="M95" s="12">
        <f t="shared" si="67"/>
        <v>0</v>
      </c>
      <c r="N95" s="12">
        <f t="shared" si="67"/>
        <v>0</v>
      </c>
      <c r="O95" s="12">
        <f t="shared" si="67"/>
        <v>0</v>
      </c>
      <c r="P95" s="12">
        <f t="shared" si="67"/>
        <v>0</v>
      </c>
      <c r="Q95" s="12">
        <f t="shared" si="67"/>
        <v>0</v>
      </c>
      <c r="R95" s="12">
        <f t="shared" si="67"/>
        <v>0</v>
      </c>
      <c r="S95" s="12">
        <f t="shared" si="67"/>
        <v>0</v>
      </c>
      <c r="T95" s="12">
        <f t="shared" si="67"/>
        <v>0</v>
      </c>
      <c r="U95" s="12">
        <f t="shared" si="67"/>
        <v>0</v>
      </c>
      <c r="V95" s="12">
        <f t="shared" si="67"/>
        <v>0</v>
      </c>
      <c r="W95" s="12">
        <f t="shared" si="67"/>
        <v>0</v>
      </c>
      <c r="X95" s="12">
        <f t="shared" si="67"/>
        <v>0</v>
      </c>
      <c r="Y95" s="12">
        <f t="shared" si="67"/>
        <v>0</v>
      </c>
      <c r="Z95" s="12">
        <f t="shared" si="67"/>
        <v>0</v>
      </c>
      <c r="AA95" s="12">
        <f t="shared" si="67"/>
        <v>0</v>
      </c>
      <c r="AB95" s="12">
        <f t="shared" si="67"/>
        <v>0</v>
      </c>
      <c r="AC95" s="12">
        <f t="shared" si="67"/>
        <v>0</v>
      </c>
      <c r="AD95" s="12">
        <f t="shared" si="67"/>
        <v>0</v>
      </c>
      <c r="AE95" s="12">
        <f t="shared" si="67"/>
        <v>0</v>
      </c>
      <c r="AF95" s="12">
        <f t="shared" si="67"/>
        <v>0</v>
      </c>
      <c r="AG95" s="12">
        <f t="shared" si="67"/>
        <v>0</v>
      </c>
      <c r="AH95" s="12">
        <f t="shared" si="67"/>
        <v>0</v>
      </c>
      <c r="AI95" s="12">
        <f>SUM(AI90:AI94)</f>
        <v>-7218</v>
      </c>
      <c r="AJ95" s="36"/>
      <c r="AK95" s="36"/>
      <c r="AL95" s="36"/>
      <c r="AM95" s="36"/>
      <c r="AN95" s="36"/>
    </row>
    <row r="96" spans="1:40">
      <c r="A96" s="16" t="s">
        <v>8</v>
      </c>
      <c r="B96" s="16" t="s">
        <v>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2">
        <v>-1560</v>
      </c>
      <c r="AJ96" s="36"/>
      <c r="AK96" s="36"/>
      <c r="AL96" s="36"/>
      <c r="AM96" s="36"/>
      <c r="AN96" s="36"/>
    </row>
    <row r="97" spans="1:43">
      <c r="A97" s="16" t="s">
        <v>122</v>
      </c>
      <c r="B97" s="16" t="s">
        <v>4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>
        <v>-7171</v>
      </c>
      <c r="AJ97" s="36"/>
      <c r="AK97" s="36"/>
      <c r="AL97" s="36"/>
      <c r="AM97" s="36"/>
      <c r="AN97" s="36"/>
    </row>
    <row r="98" spans="1:43">
      <c r="A98" s="16" t="s">
        <v>40</v>
      </c>
      <c r="B98" s="16" t="s">
        <v>4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>
        <v>-4903</v>
      </c>
      <c r="AJ98" s="36"/>
      <c r="AK98" s="36"/>
      <c r="AL98" s="36"/>
      <c r="AM98" s="36"/>
      <c r="AN98" s="36"/>
    </row>
    <row r="99" spans="1:43">
      <c r="A99" s="6" t="s">
        <v>123</v>
      </c>
      <c r="B99" s="6" t="s">
        <v>4</v>
      </c>
      <c r="C99" s="13">
        <f t="shared" ref="C99:AH99" si="68">SUM(C95:C98,C89,C73:C83)</f>
        <v>0</v>
      </c>
      <c r="D99" s="13">
        <f t="shared" si="68"/>
        <v>0</v>
      </c>
      <c r="E99" s="13">
        <f t="shared" si="68"/>
        <v>0</v>
      </c>
      <c r="F99" s="13">
        <f t="shared" si="68"/>
        <v>0</v>
      </c>
      <c r="G99" s="13">
        <f t="shared" si="68"/>
        <v>0</v>
      </c>
      <c r="H99" s="13">
        <f t="shared" si="68"/>
        <v>0</v>
      </c>
      <c r="I99" s="13">
        <f t="shared" si="68"/>
        <v>0</v>
      </c>
      <c r="J99" s="13">
        <f t="shared" si="68"/>
        <v>0</v>
      </c>
      <c r="K99" s="13">
        <f t="shared" si="68"/>
        <v>0</v>
      </c>
      <c r="L99" s="13">
        <f t="shared" si="68"/>
        <v>0</v>
      </c>
      <c r="M99" s="13">
        <f t="shared" si="68"/>
        <v>0</v>
      </c>
      <c r="N99" s="13">
        <f t="shared" si="68"/>
        <v>0</v>
      </c>
      <c r="O99" s="13">
        <f t="shared" si="68"/>
        <v>0</v>
      </c>
      <c r="P99" s="13">
        <f t="shared" si="68"/>
        <v>0</v>
      </c>
      <c r="Q99" s="13">
        <f t="shared" si="68"/>
        <v>0</v>
      </c>
      <c r="R99" s="13">
        <f t="shared" si="68"/>
        <v>0</v>
      </c>
      <c r="S99" s="13">
        <f t="shared" si="68"/>
        <v>0</v>
      </c>
      <c r="T99" s="13">
        <f t="shared" si="68"/>
        <v>0</v>
      </c>
      <c r="U99" s="13">
        <f t="shared" si="68"/>
        <v>0</v>
      </c>
      <c r="V99" s="13">
        <f t="shared" si="68"/>
        <v>0</v>
      </c>
      <c r="W99" s="13">
        <f t="shared" si="68"/>
        <v>0</v>
      </c>
      <c r="X99" s="13">
        <f t="shared" si="68"/>
        <v>0</v>
      </c>
      <c r="Y99" s="13">
        <f t="shared" si="68"/>
        <v>0</v>
      </c>
      <c r="Z99" s="13">
        <f t="shared" si="68"/>
        <v>0</v>
      </c>
      <c r="AA99" s="13">
        <f t="shared" si="68"/>
        <v>0</v>
      </c>
      <c r="AB99" s="13">
        <f t="shared" si="68"/>
        <v>0</v>
      </c>
      <c r="AC99" s="13">
        <f t="shared" si="68"/>
        <v>0</v>
      </c>
      <c r="AD99" s="13">
        <f t="shared" si="68"/>
        <v>0</v>
      </c>
      <c r="AE99" s="13">
        <f t="shared" si="68"/>
        <v>0</v>
      </c>
      <c r="AF99" s="13">
        <f t="shared" si="68"/>
        <v>0</v>
      </c>
      <c r="AG99" s="13">
        <f t="shared" si="68"/>
        <v>0</v>
      </c>
      <c r="AH99" s="13">
        <f t="shared" si="68"/>
        <v>0</v>
      </c>
      <c r="AI99" s="13">
        <f>SUM(AI95:AI98,AI89,AI73:AI83)</f>
        <v>139589</v>
      </c>
      <c r="AJ99" s="36"/>
      <c r="AK99" s="36"/>
      <c r="AL99" s="36"/>
      <c r="AM99" s="36"/>
      <c r="AN99" s="36"/>
    </row>
    <row r="100" spans="1:43">
      <c r="A100" s="16" t="s">
        <v>124</v>
      </c>
      <c r="B100" s="16" t="s">
        <v>4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7"/>
      <c r="Y100" s="17"/>
      <c r="Z100" s="12"/>
      <c r="AA100" s="12"/>
      <c r="AB100" s="12"/>
      <c r="AC100" s="12"/>
      <c r="AD100" s="12"/>
      <c r="AE100" s="12"/>
      <c r="AF100" s="17"/>
      <c r="AG100" s="17"/>
      <c r="AH100" s="17"/>
      <c r="AI100" s="12">
        <v>499</v>
      </c>
      <c r="AJ100" s="36"/>
      <c r="AK100" s="36"/>
      <c r="AL100" s="36"/>
      <c r="AM100" s="36"/>
      <c r="AN100" s="36"/>
    </row>
    <row r="101" spans="1:43">
      <c r="A101" s="16" t="s">
        <v>125</v>
      </c>
      <c r="B101" s="16" t="s">
        <v>4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>
        <v>-48631</v>
      </c>
      <c r="AJ101" s="36"/>
      <c r="AK101" s="36"/>
      <c r="AL101" s="36"/>
      <c r="AM101" s="36"/>
      <c r="AN101" s="36"/>
    </row>
    <row r="102" spans="1:43">
      <c r="A102" s="16" t="s">
        <v>126</v>
      </c>
      <c r="B102" s="16" t="s">
        <v>4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>
        <v>-2473</v>
      </c>
      <c r="AJ102" s="36"/>
      <c r="AK102" s="36"/>
      <c r="AL102" s="36"/>
      <c r="AM102" s="36"/>
      <c r="AN102" s="36"/>
    </row>
    <row r="103" spans="1:43">
      <c r="A103" s="16" t="s">
        <v>127</v>
      </c>
      <c r="B103" s="16" t="s">
        <v>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>
        <v>0</v>
      </c>
      <c r="AJ103" s="36"/>
      <c r="AK103" s="36"/>
      <c r="AL103" s="36"/>
      <c r="AM103" s="36"/>
      <c r="AN103" s="36"/>
    </row>
    <row r="104" spans="1:43">
      <c r="A104" s="16" t="s">
        <v>128</v>
      </c>
      <c r="B104" s="16" t="s">
        <v>4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>
        <v>2976</v>
      </c>
      <c r="AJ104" s="36"/>
      <c r="AK104" s="36"/>
      <c r="AL104" s="36"/>
      <c r="AM104" s="36"/>
      <c r="AN104" s="36"/>
    </row>
    <row r="105" spans="1:43">
      <c r="A105" s="6" t="s">
        <v>129</v>
      </c>
      <c r="B105" s="6" t="s">
        <v>4</v>
      </c>
      <c r="C105" s="13">
        <f t="shared" ref="C105:AH105" si="69">SUM(C100:C104)</f>
        <v>0</v>
      </c>
      <c r="D105" s="13">
        <f t="shared" si="69"/>
        <v>0</v>
      </c>
      <c r="E105" s="13">
        <f t="shared" si="69"/>
        <v>0</v>
      </c>
      <c r="F105" s="13">
        <f t="shared" si="69"/>
        <v>0</v>
      </c>
      <c r="G105" s="13">
        <f t="shared" si="69"/>
        <v>0</v>
      </c>
      <c r="H105" s="13">
        <f t="shared" si="69"/>
        <v>0</v>
      </c>
      <c r="I105" s="13">
        <f t="shared" si="69"/>
        <v>0</v>
      </c>
      <c r="J105" s="13">
        <f t="shared" si="69"/>
        <v>0</v>
      </c>
      <c r="K105" s="13">
        <f t="shared" si="69"/>
        <v>0</v>
      </c>
      <c r="L105" s="13">
        <f t="shared" si="69"/>
        <v>0</v>
      </c>
      <c r="M105" s="13">
        <f t="shared" si="69"/>
        <v>0</v>
      </c>
      <c r="N105" s="13">
        <f t="shared" si="69"/>
        <v>0</v>
      </c>
      <c r="O105" s="13">
        <f t="shared" si="69"/>
        <v>0</v>
      </c>
      <c r="P105" s="13">
        <f t="shared" si="69"/>
        <v>0</v>
      </c>
      <c r="Q105" s="13">
        <f t="shared" si="69"/>
        <v>0</v>
      </c>
      <c r="R105" s="13">
        <f t="shared" si="69"/>
        <v>0</v>
      </c>
      <c r="S105" s="13">
        <f t="shared" si="69"/>
        <v>0</v>
      </c>
      <c r="T105" s="13">
        <f t="shared" si="69"/>
        <v>0</v>
      </c>
      <c r="U105" s="13">
        <f t="shared" si="69"/>
        <v>0</v>
      </c>
      <c r="V105" s="13">
        <f t="shared" si="69"/>
        <v>0</v>
      </c>
      <c r="W105" s="13">
        <f t="shared" si="69"/>
        <v>0</v>
      </c>
      <c r="X105" s="13">
        <f t="shared" si="69"/>
        <v>0</v>
      </c>
      <c r="Y105" s="13">
        <f t="shared" si="69"/>
        <v>0</v>
      </c>
      <c r="Z105" s="13">
        <f t="shared" si="69"/>
        <v>0</v>
      </c>
      <c r="AA105" s="13">
        <f t="shared" si="69"/>
        <v>0</v>
      </c>
      <c r="AB105" s="13">
        <f t="shared" si="69"/>
        <v>0</v>
      </c>
      <c r="AC105" s="13">
        <f t="shared" si="69"/>
        <v>0</v>
      </c>
      <c r="AD105" s="13">
        <f t="shared" si="69"/>
        <v>0</v>
      </c>
      <c r="AE105" s="13">
        <f t="shared" si="69"/>
        <v>0</v>
      </c>
      <c r="AF105" s="13">
        <f t="shared" si="69"/>
        <v>0</v>
      </c>
      <c r="AG105" s="13">
        <f t="shared" si="69"/>
        <v>0</v>
      </c>
      <c r="AH105" s="13">
        <f t="shared" si="69"/>
        <v>0</v>
      </c>
      <c r="AI105" s="13">
        <f>SUM(AI100:AI104)</f>
        <v>-47629</v>
      </c>
      <c r="AJ105" s="36"/>
      <c r="AK105" s="36"/>
      <c r="AL105" s="36"/>
      <c r="AM105" s="36"/>
      <c r="AN105" s="36"/>
    </row>
    <row r="106" spans="1:43">
      <c r="A106" s="16" t="s">
        <v>130</v>
      </c>
      <c r="B106" s="16" t="s">
        <v>4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93"/>
      <c r="AB106" s="93"/>
      <c r="AC106" s="93"/>
      <c r="AD106" s="93"/>
      <c r="AE106" s="93"/>
      <c r="AF106" s="93"/>
      <c r="AG106" s="94"/>
      <c r="AH106" s="94"/>
      <c r="AI106" s="58">
        <v>-3166</v>
      </c>
      <c r="AJ106" s="36"/>
      <c r="AK106" s="36"/>
      <c r="AL106" s="36"/>
      <c r="AM106" s="36"/>
      <c r="AN106" s="36"/>
      <c r="AQ106" s="61"/>
    </row>
    <row r="107" spans="1:43">
      <c r="A107" s="16" t="s">
        <v>113</v>
      </c>
      <c r="B107" s="16" t="s">
        <v>4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58">
        <v>-67255</v>
      </c>
      <c r="AJ107" s="36"/>
      <c r="AK107" s="36"/>
      <c r="AL107" s="36"/>
      <c r="AM107" s="36"/>
      <c r="AN107" s="36"/>
    </row>
    <row r="108" spans="1:43">
      <c r="A108" s="16" t="s">
        <v>131</v>
      </c>
      <c r="B108" s="16" t="s">
        <v>4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>
        <v>-33160</v>
      </c>
      <c r="AJ108" s="36"/>
      <c r="AK108" s="36"/>
      <c r="AL108" s="36"/>
      <c r="AM108" s="36"/>
      <c r="AN108" s="36"/>
    </row>
    <row r="109" spans="1:43">
      <c r="A109" s="6" t="s">
        <v>132</v>
      </c>
      <c r="B109" s="6" t="s">
        <v>4</v>
      </c>
      <c r="C109" s="13">
        <f t="shared" ref="C109:AH109" si="70">SUM(C106:C108)</f>
        <v>0</v>
      </c>
      <c r="D109" s="13">
        <f t="shared" si="70"/>
        <v>0</v>
      </c>
      <c r="E109" s="13">
        <f t="shared" si="70"/>
        <v>0</v>
      </c>
      <c r="F109" s="13">
        <f t="shared" si="70"/>
        <v>0</v>
      </c>
      <c r="G109" s="13">
        <f t="shared" si="70"/>
        <v>0</v>
      </c>
      <c r="H109" s="13">
        <f t="shared" si="70"/>
        <v>0</v>
      </c>
      <c r="I109" s="13">
        <f t="shared" si="70"/>
        <v>0</v>
      </c>
      <c r="J109" s="13">
        <f t="shared" si="70"/>
        <v>0</v>
      </c>
      <c r="K109" s="13">
        <f t="shared" si="70"/>
        <v>0</v>
      </c>
      <c r="L109" s="13">
        <f t="shared" si="70"/>
        <v>0</v>
      </c>
      <c r="M109" s="13">
        <f t="shared" si="70"/>
        <v>0</v>
      </c>
      <c r="N109" s="13">
        <f t="shared" si="70"/>
        <v>0</v>
      </c>
      <c r="O109" s="13">
        <f t="shared" si="70"/>
        <v>0</v>
      </c>
      <c r="P109" s="13">
        <f t="shared" si="70"/>
        <v>0</v>
      </c>
      <c r="Q109" s="13">
        <f t="shared" si="70"/>
        <v>0</v>
      </c>
      <c r="R109" s="13">
        <f t="shared" si="70"/>
        <v>0</v>
      </c>
      <c r="S109" s="13">
        <f t="shared" si="70"/>
        <v>0</v>
      </c>
      <c r="T109" s="13">
        <f t="shared" si="70"/>
        <v>0</v>
      </c>
      <c r="U109" s="13">
        <f t="shared" si="70"/>
        <v>0</v>
      </c>
      <c r="V109" s="13">
        <f t="shared" si="70"/>
        <v>0</v>
      </c>
      <c r="W109" s="13">
        <f t="shared" si="70"/>
        <v>0</v>
      </c>
      <c r="X109" s="13">
        <f t="shared" si="70"/>
        <v>0</v>
      </c>
      <c r="Y109" s="13">
        <f t="shared" si="70"/>
        <v>0</v>
      </c>
      <c r="Z109" s="13">
        <f t="shared" si="70"/>
        <v>0</v>
      </c>
      <c r="AA109" s="13">
        <f t="shared" si="70"/>
        <v>0</v>
      </c>
      <c r="AB109" s="13">
        <f t="shared" si="70"/>
        <v>0</v>
      </c>
      <c r="AC109" s="13">
        <f t="shared" si="70"/>
        <v>0</v>
      </c>
      <c r="AD109" s="13">
        <f t="shared" si="70"/>
        <v>0</v>
      </c>
      <c r="AE109" s="13">
        <f t="shared" si="70"/>
        <v>0</v>
      </c>
      <c r="AF109" s="13">
        <f t="shared" si="70"/>
        <v>0</v>
      </c>
      <c r="AG109" s="13">
        <f t="shared" si="70"/>
        <v>0</v>
      </c>
      <c r="AH109" s="13">
        <f t="shared" si="70"/>
        <v>0</v>
      </c>
      <c r="AI109" s="13">
        <f>SUM(AI106:AI108)</f>
        <v>-103581</v>
      </c>
      <c r="AJ109" s="51"/>
      <c r="AK109" s="51"/>
      <c r="AL109" s="51"/>
      <c r="AM109" s="51"/>
      <c r="AN109" s="51"/>
    </row>
    <row r="110" spans="1:43">
      <c r="A110" s="6" t="s">
        <v>133</v>
      </c>
      <c r="B110" s="16" t="s">
        <v>4</v>
      </c>
      <c r="C110" s="13">
        <f t="shared" ref="C110:AH110" si="71">SUM(C109,C105,C99)</f>
        <v>0</v>
      </c>
      <c r="D110" s="13">
        <f t="shared" si="71"/>
        <v>0</v>
      </c>
      <c r="E110" s="13">
        <f t="shared" si="71"/>
        <v>0</v>
      </c>
      <c r="F110" s="13">
        <f t="shared" si="71"/>
        <v>0</v>
      </c>
      <c r="G110" s="13">
        <f t="shared" si="71"/>
        <v>0</v>
      </c>
      <c r="H110" s="13">
        <f t="shared" si="71"/>
        <v>0</v>
      </c>
      <c r="I110" s="13">
        <f t="shared" si="71"/>
        <v>0</v>
      </c>
      <c r="J110" s="13">
        <f t="shared" si="71"/>
        <v>0</v>
      </c>
      <c r="K110" s="13">
        <f t="shared" si="71"/>
        <v>0</v>
      </c>
      <c r="L110" s="13">
        <f t="shared" si="71"/>
        <v>0</v>
      </c>
      <c r="M110" s="13">
        <f t="shared" si="71"/>
        <v>0</v>
      </c>
      <c r="N110" s="13">
        <f t="shared" si="71"/>
        <v>0</v>
      </c>
      <c r="O110" s="13">
        <f t="shared" si="71"/>
        <v>0</v>
      </c>
      <c r="P110" s="13">
        <f t="shared" si="71"/>
        <v>0</v>
      </c>
      <c r="Q110" s="13">
        <f t="shared" si="71"/>
        <v>0</v>
      </c>
      <c r="R110" s="13">
        <f t="shared" si="71"/>
        <v>0</v>
      </c>
      <c r="S110" s="13">
        <f t="shared" si="71"/>
        <v>0</v>
      </c>
      <c r="T110" s="13">
        <f t="shared" si="71"/>
        <v>0</v>
      </c>
      <c r="U110" s="13">
        <f t="shared" si="71"/>
        <v>0</v>
      </c>
      <c r="V110" s="13">
        <f t="shared" si="71"/>
        <v>0</v>
      </c>
      <c r="W110" s="13">
        <f t="shared" si="71"/>
        <v>0</v>
      </c>
      <c r="X110" s="13">
        <f t="shared" si="71"/>
        <v>0</v>
      </c>
      <c r="Y110" s="13">
        <f t="shared" si="71"/>
        <v>0</v>
      </c>
      <c r="Z110" s="13">
        <f t="shared" si="71"/>
        <v>0</v>
      </c>
      <c r="AA110" s="13">
        <f t="shared" si="71"/>
        <v>0</v>
      </c>
      <c r="AB110" s="13">
        <f t="shared" si="71"/>
        <v>0</v>
      </c>
      <c r="AC110" s="13">
        <f t="shared" si="71"/>
        <v>0</v>
      </c>
      <c r="AD110" s="13">
        <f t="shared" si="71"/>
        <v>0</v>
      </c>
      <c r="AE110" s="13">
        <f t="shared" si="71"/>
        <v>0</v>
      </c>
      <c r="AF110" s="13">
        <f t="shared" si="71"/>
        <v>0</v>
      </c>
      <c r="AG110" s="13">
        <f t="shared" si="71"/>
        <v>0</v>
      </c>
      <c r="AH110" s="13">
        <f t="shared" si="71"/>
        <v>0</v>
      </c>
      <c r="AI110" s="13">
        <f>SUM(AI109,AI105,AI99)</f>
        <v>-11621</v>
      </c>
      <c r="AJ110" s="36"/>
      <c r="AK110" s="36"/>
      <c r="AL110" s="36"/>
      <c r="AM110" s="36"/>
      <c r="AN110" s="36"/>
    </row>
    <row r="111" spans="1:43">
      <c r="A111" s="16" t="s">
        <v>134</v>
      </c>
      <c r="B111" s="16" t="s">
        <v>4</v>
      </c>
      <c r="C111" s="2"/>
      <c r="D111" s="2">
        <f>C112</f>
        <v>0</v>
      </c>
      <c r="E111" s="2">
        <f t="shared" ref="E111:AH111" si="72">D112</f>
        <v>0</v>
      </c>
      <c r="F111" s="2">
        <f t="shared" si="72"/>
        <v>0</v>
      </c>
      <c r="G111" s="2">
        <f t="shared" si="72"/>
        <v>0</v>
      </c>
      <c r="H111" s="2">
        <f t="shared" si="72"/>
        <v>0</v>
      </c>
      <c r="I111" s="2">
        <f t="shared" si="72"/>
        <v>0</v>
      </c>
      <c r="J111" s="2">
        <f t="shared" si="72"/>
        <v>0</v>
      </c>
      <c r="K111" s="2">
        <f t="shared" si="72"/>
        <v>0</v>
      </c>
      <c r="L111" s="2">
        <f t="shared" si="72"/>
        <v>0</v>
      </c>
      <c r="M111" s="2">
        <f t="shared" si="72"/>
        <v>0</v>
      </c>
      <c r="N111" s="2">
        <f t="shared" si="72"/>
        <v>0</v>
      </c>
      <c r="O111" s="2">
        <f t="shared" si="72"/>
        <v>0</v>
      </c>
      <c r="P111" s="2">
        <f t="shared" si="72"/>
        <v>0</v>
      </c>
      <c r="Q111" s="2">
        <f t="shared" si="72"/>
        <v>0</v>
      </c>
      <c r="R111" s="2">
        <f t="shared" si="72"/>
        <v>0</v>
      </c>
      <c r="S111" s="2">
        <f t="shared" si="72"/>
        <v>0</v>
      </c>
      <c r="T111" s="2">
        <f t="shared" si="72"/>
        <v>0</v>
      </c>
      <c r="U111" s="2">
        <f t="shared" si="72"/>
        <v>0</v>
      </c>
      <c r="V111" s="2">
        <f t="shared" si="72"/>
        <v>0</v>
      </c>
      <c r="W111" s="2">
        <f t="shared" si="72"/>
        <v>0</v>
      </c>
      <c r="X111" s="2">
        <f t="shared" si="72"/>
        <v>0</v>
      </c>
      <c r="Y111" s="2">
        <f t="shared" si="72"/>
        <v>0</v>
      </c>
      <c r="Z111" s="2">
        <f t="shared" si="72"/>
        <v>0</v>
      </c>
      <c r="AA111" s="2">
        <f t="shared" si="72"/>
        <v>0</v>
      </c>
      <c r="AB111" s="2">
        <f t="shared" si="72"/>
        <v>0</v>
      </c>
      <c r="AC111" s="2">
        <f t="shared" si="72"/>
        <v>0</v>
      </c>
      <c r="AD111" s="2">
        <f t="shared" si="72"/>
        <v>0</v>
      </c>
      <c r="AE111" s="2">
        <f t="shared" si="72"/>
        <v>0</v>
      </c>
      <c r="AF111" s="2">
        <f t="shared" si="72"/>
        <v>0</v>
      </c>
      <c r="AG111" s="2">
        <f t="shared" si="72"/>
        <v>0</v>
      </c>
      <c r="AH111" s="2">
        <f t="shared" si="72"/>
        <v>0</v>
      </c>
      <c r="AI111" s="2">
        <v>425096</v>
      </c>
      <c r="AJ111" s="36"/>
      <c r="AK111" s="36"/>
      <c r="AL111" s="36"/>
      <c r="AM111" s="36"/>
      <c r="AN111" s="36"/>
    </row>
    <row r="112" spans="1:43">
      <c r="A112" s="6" t="s">
        <v>135</v>
      </c>
      <c r="B112" s="6" t="s">
        <v>4</v>
      </c>
      <c r="C112" s="13">
        <f t="shared" ref="C112:AH112" si="73">SUM(C110:C111)</f>
        <v>0</v>
      </c>
      <c r="D112" s="13">
        <f t="shared" si="73"/>
        <v>0</v>
      </c>
      <c r="E112" s="13">
        <f t="shared" si="73"/>
        <v>0</v>
      </c>
      <c r="F112" s="13">
        <f t="shared" si="73"/>
        <v>0</v>
      </c>
      <c r="G112" s="13">
        <f t="shared" si="73"/>
        <v>0</v>
      </c>
      <c r="H112" s="13">
        <f t="shared" si="73"/>
        <v>0</v>
      </c>
      <c r="I112" s="13">
        <f t="shared" si="73"/>
        <v>0</v>
      </c>
      <c r="J112" s="13">
        <f t="shared" si="73"/>
        <v>0</v>
      </c>
      <c r="K112" s="13">
        <f t="shared" si="73"/>
        <v>0</v>
      </c>
      <c r="L112" s="13">
        <f t="shared" si="73"/>
        <v>0</v>
      </c>
      <c r="M112" s="13">
        <f t="shared" si="73"/>
        <v>0</v>
      </c>
      <c r="N112" s="13">
        <f t="shared" si="73"/>
        <v>0</v>
      </c>
      <c r="O112" s="13">
        <f t="shared" si="73"/>
        <v>0</v>
      </c>
      <c r="P112" s="13">
        <f t="shared" si="73"/>
        <v>0</v>
      </c>
      <c r="Q112" s="13">
        <f t="shared" si="73"/>
        <v>0</v>
      </c>
      <c r="R112" s="13">
        <f t="shared" si="73"/>
        <v>0</v>
      </c>
      <c r="S112" s="13">
        <f t="shared" si="73"/>
        <v>0</v>
      </c>
      <c r="T112" s="13">
        <f t="shared" si="73"/>
        <v>0</v>
      </c>
      <c r="U112" s="13">
        <f t="shared" si="73"/>
        <v>0</v>
      </c>
      <c r="V112" s="13">
        <f t="shared" si="73"/>
        <v>0</v>
      </c>
      <c r="W112" s="13">
        <f t="shared" si="73"/>
        <v>0</v>
      </c>
      <c r="X112" s="13">
        <f t="shared" si="73"/>
        <v>0</v>
      </c>
      <c r="Y112" s="13">
        <f t="shared" si="73"/>
        <v>0</v>
      </c>
      <c r="Z112" s="13">
        <f t="shared" si="73"/>
        <v>0</v>
      </c>
      <c r="AA112" s="13">
        <f t="shared" si="73"/>
        <v>0</v>
      </c>
      <c r="AB112" s="13">
        <f t="shared" si="73"/>
        <v>0</v>
      </c>
      <c r="AC112" s="13">
        <f t="shared" si="73"/>
        <v>0</v>
      </c>
      <c r="AD112" s="13">
        <f t="shared" si="73"/>
        <v>0</v>
      </c>
      <c r="AE112" s="13">
        <f t="shared" si="73"/>
        <v>0</v>
      </c>
      <c r="AF112" s="13">
        <f t="shared" si="73"/>
        <v>0</v>
      </c>
      <c r="AG112" s="13">
        <f t="shared" si="73"/>
        <v>0</v>
      </c>
      <c r="AH112" s="13">
        <f t="shared" si="73"/>
        <v>0</v>
      </c>
      <c r="AI112" s="13">
        <f>SUM(AI110:AI111)</f>
        <v>413475</v>
      </c>
      <c r="AJ112" s="36"/>
      <c r="AK112" s="36"/>
      <c r="AL112" s="36"/>
      <c r="AM112" s="36"/>
      <c r="AN112" s="36"/>
    </row>
    <row r="113" spans="1:42">
      <c r="A113" s="6"/>
      <c r="B113" s="6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36"/>
      <c r="AK113" s="36"/>
      <c r="AL113" s="36"/>
      <c r="AM113" s="36"/>
      <c r="AN113" s="36"/>
    </row>
    <row r="114" spans="1:42" ht="13.5" customHeight="1">
      <c r="A114" s="16"/>
      <c r="B114" s="1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3"/>
      <c r="V114" s="13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5"/>
      <c r="AJ114" s="36"/>
      <c r="AK114" s="36"/>
      <c r="AL114" s="44"/>
      <c r="AM114" s="44"/>
      <c r="AN114" s="44"/>
      <c r="AO114" s="54"/>
      <c r="AP114" s="54"/>
    </row>
    <row r="115" spans="1:42">
      <c r="A115" s="76" t="s">
        <v>9</v>
      </c>
      <c r="B115" s="77"/>
      <c r="C115" s="78"/>
      <c r="D115" s="78"/>
      <c r="E115" s="78"/>
      <c r="F115" s="78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8"/>
    </row>
    <row r="116" spans="1:42">
      <c r="A116" s="6" t="s">
        <v>10</v>
      </c>
      <c r="B116" s="6" t="s">
        <v>4</v>
      </c>
      <c r="C116" s="13">
        <f t="shared" ref="C116:AH116" si="74">C117+C124</f>
        <v>0</v>
      </c>
      <c r="D116" s="13">
        <f t="shared" si="74"/>
        <v>0</v>
      </c>
      <c r="E116" s="13">
        <f t="shared" si="74"/>
        <v>0</v>
      </c>
      <c r="F116" s="13">
        <f t="shared" si="74"/>
        <v>0</v>
      </c>
      <c r="G116" s="13">
        <f t="shared" si="74"/>
        <v>0</v>
      </c>
      <c r="H116" s="13">
        <f t="shared" si="74"/>
        <v>0</v>
      </c>
      <c r="I116" s="13">
        <f t="shared" si="74"/>
        <v>0</v>
      </c>
      <c r="J116" s="13">
        <f t="shared" si="74"/>
        <v>0</v>
      </c>
      <c r="K116" s="13">
        <f t="shared" si="74"/>
        <v>0</v>
      </c>
      <c r="L116" s="13">
        <f t="shared" si="74"/>
        <v>0</v>
      </c>
      <c r="M116" s="13">
        <f t="shared" si="74"/>
        <v>0</v>
      </c>
      <c r="N116" s="13">
        <f t="shared" si="74"/>
        <v>0</v>
      </c>
      <c r="O116" s="13">
        <f t="shared" si="74"/>
        <v>0</v>
      </c>
      <c r="P116" s="13">
        <f t="shared" si="74"/>
        <v>0</v>
      </c>
      <c r="Q116" s="13">
        <f t="shared" si="74"/>
        <v>0</v>
      </c>
      <c r="R116" s="13">
        <f t="shared" si="74"/>
        <v>0</v>
      </c>
      <c r="S116" s="13">
        <f t="shared" si="74"/>
        <v>0</v>
      </c>
      <c r="T116" s="13">
        <f t="shared" si="74"/>
        <v>0</v>
      </c>
      <c r="U116" s="13">
        <f t="shared" si="74"/>
        <v>0</v>
      </c>
      <c r="V116" s="13">
        <f t="shared" si="74"/>
        <v>0</v>
      </c>
      <c r="W116" s="13">
        <f t="shared" si="74"/>
        <v>0</v>
      </c>
      <c r="X116" s="13">
        <f t="shared" si="74"/>
        <v>0</v>
      </c>
      <c r="Y116" s="13">
        <f t="shared" si="74"/>
        <v>0</v>
      </c>
      <c r="Z116" s="13">
        <f t="shared" si="74"/>
        <v>0</v>
      </c>
      <c r="AA116" s="13">
        <f t="shared" si="74"/>
        <v>0</v>
      </c>
      <c r="AB116" s="13">
        <f t="shared" si="74"/>
        <v>0</v>
      </c>
      <c r="AC116" s="13">
        <f t="shared" si="74"/>
        <v>0</v>
      </c>
      <c r="AD116" s="13">
        <f t="shared" si="74"/>
        <v>0</v>
      </c>
      <c r="AE116" s="13">
        <f t="shared" si="74"/>
        <v>0</v>
      </c>
      <c r="AF116" s="13">
        <f t="shared" si="74"/>
        <v>0</v>
      </c>
      <c r="AG116" s="13">
        <f t="shared" si="74"/>
        <v>0</v>
      </c>
      <c r="AH116" s="13">
        <f t="shared" si="74"/>
        <v>0</v>
      </c>
      <c r="AI116" s="13">
        <f>AI117+AI124</f>
        <v>3931137</v>
      </c>
      <c r="AJ116" s="36"/>
      <c r="AK116" s="36"/>
      <c r="AL116" s="55"/>
      <c r="AM116" s="55"/>
      <c r="AN116" s="55"/>
      <c r="AO116" s="55"/>
      <c r="AP116" s="54"/>
    </row>
    <row r="117" spans="1:42">
      <c r="A117" s="9" t="s">
        <v>11</v>
      </c>
      <c r="B117" s="16" t="s">
        <v>4</v>
      </c>
      <c r="C117" s="2">
        <f t="shared" ref="C117:AI117" si="75">SUM(C118:C123)</f>
        <v>0</v>
      </c>
      <c r="D117" s="2">
        <f t="shared" si="75"/>
        <v>0</v>
      </c>
      <c r="E117" s="2">
        <f t="shared" si="75"/>
        <v>0</v>
      </c>
      <c r="F117" s="2">
        <f t="shared" si="75"/>
        <v>0</v>
      </c>
      <c r="G117" s="2">
        <f t="shared" si="75"/>
        <v>0</v>
      </c>
      <c r="H117" s="2">
        <f t="shared" si="75"/>
        <v>0</v>
      </c>
      <c r="I117" s="2">
        <f t="shared" si="75"/>
        <v>0</v>
      </c>
      <c r="J117" s="2">
        <f t="shared" si="75"/>
        <v>0</v>
      </c>
      <c r="K117" s="2">
        <f t="shared" si="75"/>
        <v>0</v>
      </c>
      <c r="L117" s="2">
        <f t="shared" si="75"/>
        <v>0</v>
      </c>
      <c r="M117" s="2">
        <f t="shared" si="75"/>
        <v>0</v>
      </c>
      <c r="N117" s="2">
        <f t="shared" si="75"/>
        <v>0</v>
      </c>
      <c r="O117" s="2">
        <f t="shared" si="75"/>
        <v>0</v>
      </c>
      <c r="P117" s="2">
        <f t="shared" si="75"/>
        <v>0</v>
      </c>
      <c r="Q117" s="2">
        <f t="shared" si="75"/>
        <v>0</v>
      </c>
      <c r="R117" s="2">
        <f t="shared" si="75"/>
        <v>0</v>
      </c>
      <c r="S117" s="2">
        <f t="shared" si="75"/>
        <v>0</v>
      </c>
      <c r="T117" s="2">
        <f t="shared" si="75"/>
        <v>0</v>
      </c>
      <c r="U117" s="2">
        <f t="shared" si="75"/>
        <v>0</v>
      </c>
      <c r="V117" s="2">
        <f t="shared" si="75"/>
        <v>0</v>
      </c>
      <c r="W117" s="2">
        <f t="shared" si="75"/>
        <v>0</v>
      </c>
      <c r="X117" s="2">
        <f t="shared" si="75"/>
        <v>0</v>
      </c>
      <c r="Y117" s="2">
        <f t="shared" si="75"/>
        <v>0</v>
      </c>
      <c r="Z117" s="2">
        <f t="shared" si="75"/>
        <v>0</v>
      </c>
      <c r="AA117" s="2">
        <f t="shared" si="75"/>
        <v>0</v>
      </c>
      <c r="AB117" s="2">
        <f t="shared" si="75"/>
        <v>0</v>
      </c>
      <c r="AC117" s="2">
        <f t="shared" si="75"/>
        <v>0</v>
      </c>
      <c r="AD117" s="2">
        <f t="shared" si="75"/>
        <v>0</v>
      </c>
      <c r="AE117" s="2">
        <f t="shared" si="75"/>
        <v>0</v>
      </c>
      <c r="AF117" s="2">
        <f t="shared" si="75"/>
        <v>0</v>
      </c>
      <c r="AG117" s="2">
        <f t="shared" si="75"/>
        <v>0</v>
      </c>
      <c r="AH117" s="2">
        <f t="shared" si="75"/>
        <v>0</v>
      </c>
      <c r="AI117" s="2">
        <f t="shared" si="75"/>
        <v>1073044</v>
      </c>
      <c r="AJ117" s="36"/>
      <c r="AK117" s="36"/>
      <c r="AL117" s="55"/>
      <c r="AM117" s="55"/>
      <c r="AN117" s="55"/>
      <c r="AO117" s="55"/>
      <c r="AP117" s="54"/>
    </row>
    <row r="118" spans="1:42">
      <c r="A118" s="11" t="s">
        <v>12</v>
      </c>
      <c r="B118" s="16" t="s">
        <v>4</v>
      </c>
      <c r="C118" s="12">
        <f t="shared" ref="C118" si="76">C112</f>
        <v>0</v>
      </c>
      <c r="D118" s="12">
        <f t="shared" ref="D118:AH118" si="77">D112</f>
        <v>0</v>
      </c>
      <c r="E118" s="12">
        <f t="shared" si="77"/>
        <v>0</v>
      </c>
      <c r="F118" s="12">
        <f t="shared" si="77"/>
        <v>0</v>
      </c>
      <c r="G118" s="12">
        <f t="shared" si="77"/>
        <v>0</v>
      </c>
      <c r="H118" s="12">
        <f t="shared" si="77"/>
        <v>0</v>
      </c>
      <c r="I118" s="12">
        <f t="shared" si="77"/>
        <v>0</v>
      </c>
      <c r="J118" s="12">
        <f t="shared" si="77"/>
        <v>0</v>
      </c>
      <c r="K118" s="12">
        <f t="shared" si="77"/>
        <v>0</v>
      </c>
      <c r="L118" s="12">
        <f t="shared" si="77"/>
        <v>0</v>
      </c>
      <c r="M118" s="12">
        <f t="shared" si="77"/>
        <v>0</v>
      </c>
      <c r="N118" s="12">
        <f t="shared" si="77"/>
        <v>0</v>
      </c>
      <c r="O118" s="12">
        <f t="shared" si="77"/>
        <v>0</v>
      </c>
      <c r="P118" s="12">
        <f t="shared" si="77"/>
        <v>0</v>
      </c>
      <c r="Q118" s="12">
        <f t="shared" si="77"/>
        <v>0</v>
      </c>
      <c r="R118" s="12">
        <f t="shared" si="77"/>
        <v>0</v>
      </c>
      <c r="S118" s="12">
        <f t="shared" si="77"/>
        <v>0</v>
      </c>
      <c r="T118" s="12">
        <f t="shared" si="77"/>
        <v>0</v>
      </c>
      <c r="U118" s="12">
        <f t="shared" si="77"/>
        <v>0</v>
      </c>
      <c r="V118" s="12">
        <f t="shared" si="77"/>
        <v>0</v>
      </c>
      <c r="W118" s="12">
        <f t="shared" si="77"/>
        <v>0</v>
      </c>
      <c r="X118" s="12">
        <f t="shared" si="77"/>
        <v>0</v>
      </c>
      <c r="Y118" s="12">
        <f t="shared" si="77"/>
        <v>0</v>
      </c>
      <c r="Z118" s="12">
        <f t="shared" si="77"/>
        <v>0</v>
      </c>
      <c r="AA118" s="12">
        <f t="shared" si="77"/>
        <v>0</v>
      </c>
      <c r="AB118" s="12">
        <f t="shared" si="77"/>
        <v>0</v>
      </c>
      <c r="AC118" s="12">
        <f t="shared" si="77"/>
        <v>0</v>
      </c>
      <c r="AD118" s="12">
        <f t="shared" si="77"/>
        <v>0</v>
      </c>
      <c r="AE118" s="12">
        <f t="shared" si="77"/>
        <v>0</v>
      </c>
      <c r="AF118" s="12">
        <f t="shared" si="77"/>
        <v>0</v>
      </c>
      <c r="AG118" s="12">
        <f t="shared" si="77"/>
        <v>0</v>
      </c>
      <c r="AH118" s="12">
        <f t="shared" si="77"/>
        <v>0</v>
      </c>
      <c r="AI118" s="12">
        <f>AI112</f>
        <v>413475</v>
      </c>
      <c r="AJ118" s="36"/>
      <c r="AK118" s="36"/>
      <c r="AL118" s="55"/>
      <c r="AM118" s="55"/>
      <c r="AN118" s="55"/>
      <c r="AO118" s="55"/>
      <c r="AP118" s="54"/>
    </row>
    <row r="119" spans="1:42">
      <c r="A119" s="11" t="s">
        <v>136</v>
      </c>
      <c r="B119" s="16" t="s">
        <v>4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7"/>
      <c r="V119" s="17"/>
      <c r="W119" s="17"/>
      <c r="X119" s="17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12" t="s">
        <v>43</v>
      </c>
      <c r="AJ119" s="36"/>
      <c r="AK119" s="36"/>
      <c r="AL119" s="55"/>
      <c r="AM119" s="55"/>
      <c r="AN119" s="55"/>
      <c r="AO119" s="55"/>
      <c r="AP119" s="54"/>
    </row>
    <row r="120" spans="1:42">
      <c r="A120" s="11" t="s">
        <v>114</v>
      </c>
      <c r="B120" s="16" t="s">
        <v>4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7"/>
      <c r="Y120" s="36"/>
      <c r="Z120" s="36"/>
      <c r="AA120" s="36"/>
      <c r="AB120" s="36"/>
      <c r="AC120" s="36"/>
      <c r="AD120" s="45"/>
      <c r="AE120" s="45"/>
      <c r="AF120" s="45"/>
      <c r="AG120" s="45"/>
      <c r="AH120" s="45"/>
      <c r="AI120" s="12">
        <v>199875</v>
      </c>
      <c r="AJ120" s="36"/>
      <c r="AK120" s="36"/>
      <c r="AL120" s="55"/>
      <c r="AM120" s="55"/>
      <c r="AN120" s="55"/>
      <c r="AO120" s="55"/>
      <c r="AP120" s="54"/>
    </row>
    <row r="121" spans="1:42">
      <c r="A121" s="11" t="s">
        <v>115</v>
      </c>
      <c r="B121" s="16" t="s">
        <v>4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7"/>
      <c r="V121" s="17"/>
      <c r="W121" s="17"/>
      <c r="X121" s="17"/>
      <c r="Y121" s="36"/>
      <c r="Z121" s="36"/>
      <c r="AA121" s="36"/>
      <c r="AB121" s="36"/>
      <c r="AC121" s="36"/>
      <c r="AD121" s="45"/>
      <c r="AE121" s="45"/>
      <c r="AF121" s="45"/>
      <c r="AG121" s="45"/>
      <c r="AH121" s="45"/>
      <c r="AI121" s="12">
        <v>373768</v>
      </c>
      <c r="AJ121" s="36"/>
      <c r="AK121" s="36"/>
      <c r="AL121" s="55"/>
      <c r="AM121" s="55"/>
      <c r="AN121" s="55"/>
      <c r="AO121" s="55"/>
      <c r="AP121" s="54"/>
    </row>
    <row r="122" spans="1:42">
      <c r="A122" s="11" t="s">
        <v>39</v>
      </c>
      <c r="B122" s="16" t="s">
        <v>4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"/>
      <c r="V122" s="1"/>
      <c r="W122" s="1"/>
      <c r="X122" s="17"/>
      <c r="Y122" s="36"/>
      <c r="Z122" s="36"/>
      <c r="AA122" s="36"/>
      <c r="AB122" s="36"/>
      <c r="AC122" s="36"/>
      <c r="AD122" s="45"/>
      <c r="AE122" s="45"/>
      <c r="AF122" s="45"/>
      <c r="AG122" s="45"/>
      <c r="AH122" s="45"/>
      <c r="AI122" s="12">
        <v>48302</v>
      </c>
      <c r="AJ122" s="36"/>
      <c r="AK122" s="36"/>
      <c r="AL122" s="56"/>
      <c r="AM122" s="56"/>
      <c r="AN122" s="56"/>
      <c r="AO122" s="56"/>
      <c r="AP122" s="54"/>
    </row>
    <row r="123" spans="1:42">
      <c r="A123" s="11" t="s">
        <v>116</v>
      </c>
      <c r="B123" s="16" t="s">
        <v>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38"/>
      <c r="Z123" s="38"/>
      <c r="AA123" s="38"/>
      <c r="AB123" s="38"/>
      <c r="AC123" s="38"/>
      <c r="AD123" s="49"/>
      <c r="AE123" s="49"/>
      <c r="AF123" s="49"/>
      <c r="AG123" s="49"/>
      <c r="AH123" s="49"/>
      <c r="AI123" s="12">
        <v>37624</v>
      </c>
      <c r="AJ123" s="36"/>
      <c r="AK123" s="36"/>
      <c r="AL123" s="36"/>
      <c r="AM123" s="36"/>
      <c r="AN123" s="36"/>
    </row>
    <row r="124" spans="1:42">
      <c r="A124" s="9" t="s">
        <v>13</v>
      </c>
      <c r="B124" s="16" t="s">
        <v>4</v>
      </c>
      <c r="C124" s="2">
        <f t="shared" ref="C124:AH124" si="78">SUM(C125:C141)</f>
        <v>0</v>
      </c>
      <c r="D124" s="2">
        <f t="shared" si="78"/>
        <v>0</v>
      </c>
      <c r="E124" s="2">
        <f t="shared" si="78"/>
        <v>0</v>
      </c>
      <c r="F124" s="2">
        <f t="shared" si="78"/>
        <v>0</v>
      </c>
      <c r="G124" s="2">
        <f t="shared" si="78"/>
        <v>0</v>
      </c>
      <c r="H124" s="2">
        <f t="shared" si="78"/>
        <v>0</v>
      </c>
      <c r="I124" s="2">
        <f t="shared" si="78"/>
        <v>0</v>
      </c>
      <c r="J124" s="2">
        <f t="shared" si="78"/>
        <v>0</v>
      </c>
      <c r="K124" s="2">
        <f t="shared" si="78"/>
        <v>0</v>
      </c>
      <c r="L124" s="2">
        <f t="shared" si="78"/>
        <v>0</v>
      </c>
      <c r="M124" s="2">
        <f t="shared" si="78"/>
        <v>0</v>
      </c>
      <c r="N124" s="2">
        <f t="shared" si="78"/>
        <v>0</v>
      </c>
      <c r="O124" s="2">
        <f t="shared" si="78"/>
        <v>0</v>
      </c>
      <c r="P124" s="2">
        <f t="shared" si="78"/>
        <v>0</v>
      </c>
      <c r="Q124" s="2">
        <f t="shared" si="78"/>
        <v>0</v>
      </c>
      <c r="R124" s="2">
        <f t="shared" si="78"/>
        <v>0</v>
      </c>
      <c r="S124" s="2">
        <f t="shared" si="78"/>
        <v>0</v>
      </c>
      <c r="T124" s="2">
        <f t="shared" si="78"/>
        <v>0</v>
      </c>
      <c r="U124" s="2">
        <f t="shared" si="78"/>
        <v>0</v>
      </c>
      <c r="V124" s="2">
        <f t="shared" si="78"/>
        <v>0</v>
      </c>
      <c r="W124" s="2">
        <f t="shared" si="78"/>
        <v>0</v>
      </c>
      <c r="X124" s="2">
        <f t="shared" si="78"/>
        <v>0</v>
      </c>
      <c r="Y124" s="2">
        <f t="shared" si="78"/>
        <v>0</v>
      </c>
      <c r="Z124" s="2">
        <f t="shared" si="78"/>
        <v>0</v>
      </c>
      <c r="AA124" s="2">
        <f t="shared" si="78"/>
        <v>0</v>
      </c>
      <c r="AB124" s="2">
        <f t="shared" si="78"/>
        <v>0</v>
      </c>
      <c r="AC124" s="2">
        <f t="shared" si="78"/>
        <v>0</v>
      </c>
      <c r="AD124" s="2">
        <f t="shared" si="78"/>
        <v>0</v>
      </c>
      <c r="AE124" s="2">
        <f t="shared" si="78"/>
        <v>0</v>
      </c>
      <c r="AF124" s="2">
        <f t="shared" si="78"/>
        <v>0</v>
      </c>
      <c r="AG124" s="2">
        <f t="shared" si="78"/>
        <v>0</v>
      </c>
      <c r="AH124" s="2">
        <f t="shared" si="78"/>
        <v>0</v>
      </c>
      <c r="AI124" s="2">
        <f>SUM(AI125:AI141)</f>
        <v>2858093</v>
      </c>
      <c r="AJ124" s="36"/>
      <c r="AK124" s="36"/>
      <c r="AL124" s="36"/>
      <c r="AM124" s="36"/>
      <c r="AN124" s="36"/>
    </row>
    <row r="125" spans="1:42">
      <c r="A125" s="11" t="s">
        <v>136</v>
      </c>
      <c r="B125" s="16" t="s">
        <v>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7"/>
      <c r="Y125" s="36"/>
      <c r="Z125" s="36"/>
      <c r="AA125" s="36"/>
      <c r="AB125" s="36"/>
      <c r="AC125" s="36"/>
      <c r="AD125" s="45"/>
      <c r="AE125" s="45"/>
      <c r="AF125" s="45"/>
      <c r="AG125" s="45"/>
      <c r="AH125" s="45"/>
      <c r="AI125" s="2">
        <v>5799</v>
      </c>
      <c r="AJ125" s="36"/>
      <c r="AK125" s="36"/>
      <c r="AL125" s="36"/>
      <c r="AM125" s="36"/>
      <c r="AN125" s="36"/>
    </row>
    <row r="126" spans="1:42">
      <c r="A126" s="11" t="s">
        <v>114</v>
      </c>
      <c r="B126" s="16" t="s">
        <v>4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2"/>
      <c r="V126" s="2"/>
      <c r="W126" s="2"/>
      <c r="X126" s="17"/>
      <c r="Y126" s="36"/>
      <c r="Z126" s="36"/>
      <c r="AA126" s="36"/>
      <c r="AB126" s="36"/>
      <c r="AC126" s="45"/>
      <c r="AD126" s="45"/>
      <c r="AE126" s="45"/>
      <c r="AF126" s="45"/>
      <c r="AG126" s="45"/>
      <c r="AH126" s="45"/>
      <c r="AI126" s="12">
        <v>3486</v>
      </c>
      <c r="AJ126" s="36"/>
      <c r="AK126" s="36"/>
      <c r="AL126" s="36"/>
      <c r="AM126" s="36"/>
      <c r="AN126" s="36"/>
    </row>
    <row r="127" spans="1:42">
      <c r="A127" s="11" t="s">
        <v>113</v>
      </c>
      <c r="B127" s="16" t="s">
        <v>4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"/>
      <c r="V127" s="2"/>
      <c r="W127" s="2"/>
      <c r="X127" s="17"/>
      <c r="Y127" s="36"/>
      <c r="Z127" s="36"/>
      <c r="AA127" s="36"/>
      <c r="AB127" s="36"/>
      <c r="AC127" s="45"/>
      <c r="AD127" s="45"/>
      <c r="AE127" s="45"/>
      <c r="AF127" s="45"/>
      <c r="AG127" s="45"/>
      <c r="AH127" s="45"/>
      <c r="AI127" s="12">
        <v>24950</v>
      </c>
      <c r="AJ127" s="36"/>
      <c r="AK127" s="36"/>
      <c r="AL127" s="36"/>
      <c r="AM127" s="36"/>
      <c r="AN127" s="36"/>
    </row>
    <row r="128" spans="1:42">
      <c r="A128" s="11" t="s">
        <v>115</v>
      </c>
      <c r="B128" s="16" t="s">
        <v>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2"/>
      <c r="V128" s="2"/>
      <c r="W128" s="2"/>
      <c r="X128" s="17"/>
      <c r="Y128" s="36"/>
      <c r="Z128" s="36"/>
      <c r="AA128" s="36"/>
      <c r="AB128" s="36"/>
      <c r="AC128" s="45"/>
      <c r="AD128" s="45"/>
      <c r="AE128" s="47"/>
      <c r="AF128" s="47"/>
      <c r="AG128" s="47"/>
      <c r="AH128" s="47"/>
      <c r="AI128" s="12">
        <v>0</v>
      </c>
      <c r="AJ128" s="36"/>
      <c r="AK128" s="36"/>
      <c r="AL128" s="36"/>
      <c r="AM128" s="36"/>
      <c r="AN128" s="36"/>
    </row>
    <row r="129" spans="1:40">
      <c r="A129" s="11" t="s">
        <v>39</v>
      </c>
      <c r="B129" s="16" t="s">
        <v>4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39"/>
      <c r="Z129" s="39"/>
      <c r="AA129" s="39"/>
      <c r="AB129" s="39"/>
      <c r="AC129" s="39"/>
      <c r="AD129" s="45"/>
      <c r="AE129" s="45"/>
      <c r="AF129" s="45"/>
      <c r="AG129" s="45"/>
      <c r="AH129" s="45"/>
      <c r="AI129" s="15">
        <v>48216</v>
      </c>
      <c r="AJ129" s="36"/>
      <c r="AK129" s="36"/>
      <c r="AL129" s="36"/>
      <c r="AM129" s="36"/>
      <c r="AN129" s="36"/>
    </row>
    <row r="130" spans="1:40">
      <c r="A130" s="11" t="s">
        <v>137</v>
      </c>
      <c r="B130" s="16" t="s">
        <v>4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2"/>
      <c r="V130" s="2"/>
      <c r="W130" s="2"/>
      <c r="X130" s="17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12">
        <v>69574</v>
      </c>
      <c r="AJ130" s="36"/>
      <c r="AK130" s="36"/>
      <c r="AL130" s="36"/>
      <c r="AM130" s="36"/>
      <c r="AN130" s="36"/>
    </row>
    <row r="131" spans="1:40">
      <c r="A131" s="11" t="s">
        <v>138</v>
      </c>
      <c r="B131" s="16" t="s">
        <v>4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2"/>
      <c r="V131" s="2"/>
      <c r="W131" s="2"/>
      <c r="X131" s="17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12">
        <v>25625</v>
      </c>
      <c r="AJ131" s="36"/>
      <c r="AK131" s="36"/>
      <c r="AL131" s="36"/>
      <c r="AM131" s="36"/>
      <c r="AN131" s="36"/>
    </row>
    <row r="132" spans="1:40">
      <c r="A132" s="11" t="s">
        <v>116</v>
      </c>
      <c r="B132" s="16" t="s">
        <v>4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2"/>
      <c r="V132" s="2"/>
      <c r="W132" s="2"/>
      <c r="X132" s="17"/>
      <c r="Y132" s="36"/>
      <c r="Z132" s="36"/>
      <c r="AA132" s="45"/>
      <c r="AB132" s="45"/>
      <c r="AC132" s="45"/>
      <c r="AD132" s="45"/>
      <c r="AE132" s="47"/>
      <c r="AF132" s="70"/>
      <c r="AG132" s="70"/>
      <c r="AH132" s="70"/>
      <c r="AI132" s="12">
        <v>33891</v>
      </c>
      <c r="AJ132" s="36"/>
      <c r="AK132" s="36"/>
      <c r="AL132" s="36"/>
      <c r="AM132" s="36"/>
      <c r="AN132" s="36"/>
    </row>
    <row r="133" spans="1:40">
      <c r="A133" s="11" t="s">
        <v>139</v>
      </c>
      <c r="B133" s="16" t="s">
        <v>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2"/>
      <c r="V133" s="2"/>
      <c r="W133" s="2"/>
      <c r="X133" s="17"/>
      <c r="Y133" s="36"/>
      <c r="Z133" s="36"/>
      <c r="AA133" s="45"/>
      <c r="AB133" s="45"/>
      <c r="AC133" s="45"/>
      <c r="AD133" s="45"/>
      <c r="AE133" s="47"/>
      <c r="AF133" s="70"/>
      <c r="AG133" s="70"/>
      <c r="AH133" s="70"/>
      <c r="AI133" s="12">
        <v>2525</v>
      </c>
      <c r="AJ133" s="36"/>
      <c r="AK133" s="36"/>
      <c r="AL133" s="36"/>
      <c r="AM133" s="36"/>
      <c r="AN133" s="36"/>
    </row>
    <row r="134" spans="1:40">
      <c r="A134" s="11" t="s">
        <v>140</v>
      </c>
      <c r="B134" s="16" t="s">
        <v>4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2"/>
      <c r="V134" s="2"/>
      <c r="W134" s="2"/>
      <c r="X134" s="17"/>
      <c r="Y134" s="36"/>
      <c r="Z134" s="36"/>
      <c r="AA134" s="45"/>
      <c r="AB134" s="45"/>
      <c r="AC134" s="45"/>
      <c r="AD134" s="45"/>
      <c r="AE134" s="47"/>
      <c r="AF134" s="70"/>
      <c r="AG134" s="70"/>
      <c r="AH134" s="70"/>
      <c r="AI134" s="12"/>
      <c r="AJ134" s="36"/>
      <c r="AK134" s="36"/>
      <c r="AL134" s="36"/>
      <c r="AM134" s="36"/>
      <c r="AN134" s="36"/>
    </row>
    <row r="135" spans="1:40">
      <c r="A135" s="11" t="s">
        <v>141</v>
      </c>
      <c r="B135" s="16" t="s">
        <v>4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2"/>
      <c r="V135" s="2"/>
      <c r="W135" s="2"/>
      <c r="X135" s="17"/>
      <c r="Y135" s="36"/>
      <c r="Z135" s="36"/>
      <c r="AA135" s="45"/>
      <c r="AB135" s="45"/>
      <c r="AC135" s="45"/>
      <c r="AD135" s="45"/>
      <c r="AE135" s="47"/>
      <c r="AF135" s="70"/>
      <c r="AG135" s="70"/>
      <c r="AH135" s="70"/>
      <c r="AI135" s="12">
        <v>0</v>
      </c>
      <c r="AJ135" s="36"/>
      <c r="AK135" s="36"/>
      <c r="AL135" s="36"/>
      <c r="AM135" s="36"/>
      <c r="AN135" s="36"/>
    </row>
    <row r="136" spans="1:40">
      <c r="A136" s="11" t="s">
        <v>142</v>
      </c>
      <c r="B136" s="16" t="s">
        <v>4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2"/>
      <c r="V136" s="2"/>
      <c r="W136" s="2"/>
      <c r="X136" s="17"/>
      <c r="Y136" s="36"/>
      <c r="Z136" s="36"/>
      <c r="AA136" s="45"/>
      <c r="AB136" s="45"/>
      <c r="AC136" s="45"/>
      <c r="AD136" s="45"/>
      <c r="AE136" s="47"/>
      <c r="AF136" s="70"/>
      <c r="AG136" s="70"/>
      <c r="AH136" s="70"/>
      <c r="AI136" s="12">
        <v>8</v>
      </c>
      <c r="AJ136" s="36"/>
      <c r="AK136" s="36"/>
      <c r="AL136" s="36"/>
      <c r="AM136" s="36"/>
      <c r="AN136" s="36"/>
    </row>
    <row r="137" spans="1:40">
      <c r="A137" s="11" t="s">
        <v>14</v>
      </c>
      <c r="B137" s="16" t="s">
        <v>4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2"/>
      <c r="V137" s="2"/>
      <c r="W137" s="2"/>
      <c r="X137" s="17"/>
      <c r="Y137" s="36"/>
      <c r="Z137" s="36"/>
      <c r="AA137" s="45"/>
      <c r="AB137" s="45"/>
      <c r="AC137" s="45"/>
      <c r="AD137" s="45"/>
      <c r="AE137" s="47"/>
      <c r="AF137" s="70"/>
      <c r="AG137" s="70"/>
      <c r="AH137" s="70"/>
      <c r="AI137" s="12">
        <v>1996273</v>
      </c>
      <c r="AJ137" s="36"/>
      <c r="AK137" s="36"/>
      <c r="AL137" s="36"/>
      <c r="AM137" s="36"/>
      <c r="AN137" s="36"/>
    </row>
    <row r="138" spans="1:40">
      <c r="A138" s="11" t="s">
        <v>143</v>
      </c>
      <c r="B138" s="16" t="s">
        <v>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2"/>
      <c r="V138" s="2"/>
      <c r="W138" s="2"/>
      <c r="X138" s="17"/>
      <c r="Y138" s="36"/>
      <c r="Z138" s="36"/>
      <c r="AA138" s="45"/>
      <c r="AB138" s="45"/>
      <c r="AC138" s="45"/>
      <c r="AD138" s="45"/>
      <c r="AE138" s="47"/>
      <c r="AF138" s="70"/>
      <c r="AG138" s="70"/>
      <c r="AH138" s="70"/>
      <c r="AI138" s="12">
        <v>206727</v>
      </c>
      <c r="AJ138" s="36"/>
      <c r="AK138" s="36"/>
      <c r="AL138" s="36"/>
      <c r="AM138" s="36"/>
      <c r="AN138" s="36"/>
    </row>
    <row r="139" spans="1:40">
      <c r="A139" s="11" t="s">
        <v>144</v>
      </c>
      <c r="B139" s="16" t="s">
        <v>4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2"/>
      <c r="V139" s="2"/>
      <c r="W139" s="2"/>
      <c r="X139" s="17"/>
      <c r="Y139" s="36"/>
      <c r="Z139" s="36"/>
      <c r="AA139" s="45"/>
      <c r="AB139" s="45"/>
      <c r="AC139" s="45"/>
      <c r="AD139" s="45"/>
      <c r="AE139" s="47"/>
      <c r="AF139" s="70"/>
      <c r="AG139" s="70"/>
      <c r="AH139" s="70"/>
      <c r="AI139" s="12"/>
      <c r="AJ139" s="36"/>
      <c r="AK139" s="36"/>
      <c r="AL139" s="36"/>
      <c r="AM139" s="36"/>
      <c r="AN139" s="36"/>
    </row>
    <row r="140" spans="1:40">
      <c r="A140" s="11" t="s">
        <v>145</v>
      </c>
      <c r="B140" s="16" t="s">
        <v>4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2"/>
      <c r="V140" s="2"/>
      <c r="W140" s="2"/>
      <c r="X140" s="17"/>
      <c r="Y140" s="36"/>
      <c r="Z140" s="36"/>
      <c r="AA140" s="45"/>
      <c r="AB140" s="45"/>
      <c r="AC140" s="45"/>
      <c r="AD140" s="45"/>
      <c r="AE140" s="47"/>
      <c r="AF140" s="70"/>
      <c r="AG140" s="70"/>
      <c r="AH140" s="70"/>
      <c r="AI140" s="12">
        <v>301312</v>
      </c>
      <c r="AJ140" s="36"/>
      <c r="AK140" s="36"/>
      <c r="AL140" s="36"/>
      <c r="AM140" s="36"/>
      <c r="AN140" s="36"/>
    </row>
    <row r="141" spans="1:40">
      <c r="A141" s="11" t="s">
        <v>146</v>
      </c>
      <c r="B141" s="16" t="s">
        <v>4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2"/>
      <c r="V141" s="2"/>
      <c r="W141" s="2"/>
      <c r="X141" s="17"/>
      <c r="Y141" s="36"/>
      <c r="Z141" s="36"/>
      <c r="AA141" s="45"/>
      <c r="AB141" s="45"/>
      <c r="AC141" s="45"/>
      <c r="AD141" s="45"/>
      <c r="AE141" s="47"/>
      <c r="AF141" s="70"/>
      <c r="AG141" s="70"/>
      <c r="AH141" s="70"/>
      <c r="AI141" s="12">
        <v>139707</v>
      </c>
      <c r="AJ141" s="36"/>
      <c r="AK141" s="36"/>
      <c r="AL141" s="36"/>
      <c r="AM141" s="36"/>
      <c r="AN141" s="36"/>
    </row>
    <row r="142" spans="1:40">
      <c r="A142" s="6" t="s">
        <v>15</v>
      </c>
      <c r="B142" s="6" t="s">
        <v>4</v>
      </c>
      <c r="C142" s="13">
        <f t="shared" ref="C142:AH142" si="79">SUM(C143,C155,C169)</f>
        <v>0</v>
      </c>
      <c r="D142" s="13">
        <f t="shared" si="79"/>
        <v>0</v>
      </c>
      <c r="E142" s="13">
        <f t="shared" si="79"/>
        <v>0</v>
      </c>
      <c r="F142" s="13">
        <f t="shared" si="79"/>
        <v>0</v>
      </c>
      <c r="G142" s="13">
        <f t="shared" si="79"/>
        <v>0</v>
      </c>
      <c r="H142" s="13">
        <f t="shared" si="79"/>
        <v>0</v>
      </c>
      <c r="I142" s="13">
        <f t="shared" si="79"/>
        <v>0</v>
      </c>
      <c r="J142" s="13">
        <f t="shared" si="79"/>
        <v>0</v>
      </c>
      <c r="K142" s="13">
        <f t="shared" si="79"/>
        <v>0</v>
      </c>
      <c r="L142" s="13">
        <f t="shared" si="79"/>
        <v>0</v>
      </c>
      <c r="M142" s="13">
        <f t="shared" si="79"/>
        <v>0</v>
      </c>
      <c r="N142" s="13">
        <f t="shared" si="79"/>
        <v>0</v>
      </c>
      <c r="O142" s="13">
        <f t="shared" si="79"/>
        <v>0</v>
      </c>
      <c r="P142" s="13">
        <f t="shared" si="79"/>
        <v>0</v>
      </c>
      <c r="Q142" s="13">
        <f t="shared" si="79"/>
        <v>0</v>
      </c>
      <c r="R142" s="13">
        <f t="shared" si="79"/>
        <v>0</v>
      </c>
      <c r="S142" s="13">
        <f t="shared" si="79"/>
        <v>0</v>
      </c>
      <c r="T142" s="13">
        <f t="shared" si="79"/>
        <v>0</v>
      </c>
      <c r="U142" s="13">
        <f t="shared" si="79"/>
        <v>0</v>
      </c>
      <c r="V142" s="13">
        <f t="shared" si="79"/>
        <v>0</v>
      </c>
      <c r="W142" s="13">
        <f t="shared" si="79"/>
        <v>0</v>
      </c>
      <c r="X142" s="13">
        <f t="shared" si="79"/>
        <v>0</v>
      </c>
      <c r="Y142" s="13">
        <f t="shared" si="79"/>
        <v>0</v>
      </c>
      <c r="Z142" s="13">
        <f t="shared" si="79"/>
        <v>0</v>
      </c>
      <c r="AA142" s="13">
        <f t="shared" si="79"/>
        <v>0</v>
      </c>
      <c r="AB142" s="13">
        <f t="shared" si="79"/>
        <v>0</v>
      </c>
      <c r="AC142" s="13">
        <f t="shared" si="79"/>
        <v>0</v>
      </c>
      <c r="AD142" s="13">
        <f t="shared" si="79"/>
        <v>0</v>
      </c>
      <c r="AE142" s="13">
        <f t="shared" si="79"/>
        <v>0</v>
      </c>
      <c r="AF142" s="13">
        <f t="shared" si="79"/>
        <v>0</v>
      </c>
      <c r="AG142" s="13">
        <f t="shared" si="79"/>
        <v>0</v>
      </c>
      <c r="AH142" s="13">
        <f t="shared" si="79"/>
        <v>0</v>
      </c>
      <c r="AI142" s="13">
        <f>SUM(AI143,AI155,AI169)</f>
        <v>3931137</v>
      </c>
      <c r="AJ142" s="43"/>
      <c r="AK142" s="36"/>
      <c r="AL142" s="36"/>
      <c r="AM142" s="36"/>
      <c r="AN142" s="36"/>
    </row>
    <row r="143" spans="1:40">
      <c r="A143" s="9" t="s">
        <v>11</v>
      </c>
      <c r="B143" s="16" t="s">
        <v>4</v>
      </c>
      <c r="C143" s="12">
        <f t="shared" ref="C143:AH143" si="80">SUM(C144:C154)</f>
        <v>0</v>
      </c>
      <c r="D143" s="12">
        <f t="shared" si="80"/>
        <v>0</v>
      </c>
      <c r="E143" s="12">
        <f t="shared" si="80"/>
        <v>0</v>
      </c>
      <c r="F143" s="12">
        <f t="shared" si="80"/>
        <v>0</v>
      </c>
      <c r="G143" s="12">
        <f t="shared" si="80"/>
        <v>0</v>
      </c>
      <c r="H143" s="12">
        <f t="shared" si="80"/>
        <v>0</v>
      </c>
      <c r="I143" s="12">
        <f t="shared" si="80"/>
        <v>0</v>
      </c>
      <c r="J143" s="12">
        <f t="shared" si="80"/>
        <v>0</v>
      </c>
      <c r="K143" s="12">
        <f t="shared" si="80"/>
        <v>0</v>
      </c>
      <c r="L143" s="12">
        <f t="shared" si="80"/>
        <v>0</v>
      </c>
      <c r="M143" s="12">
        <f t="shared" si="80"/>
        <v>0</v>
      </c>
      <c r="N143" s="12">
        <f t="shared" si="80"/>
        <v>0</v>
      </c>
      <c r="O143" s="12">
        <f t="shared" si="80"/>
        <v>0</v>
      </c>
      <c r="P143" s="12">
        <f t="shared" si="80"/>
        <v>0</v>
      </c>
      <c r="Q143" s="12">
        <f t="shared" si="80"/>
        <v>0</v>
      </c>
      <c r="R143" s="12">
        <f t="shared" si="80"/>
        <v>0</v>
      </c>
      <c r="S143" s="12">
        <f t="shared" si="80"/>
        <v>0</v>
      </c>
      <c r="T143" s="12">
        <f t="shared" si="80"/>
        <v>0</v>
      </c>
      <c r="U143" s="12">
        <f t="shared" si="80"/>
        <v>0</v>
      </c>
      <c r="V143" s="12">
        <f t="shared" si="80"/>
        <v>0</v>
      </c>
      <c r="W143" s="12">
        <f t="shared" si="80"/>
        <v>0</v>
      </c>
      <c r="X143" s="12">
        <f t="shared" si="80"/>
        <v>0</v>
      </c>
      <c r="Y143" s="12">
        <f t="shared" si="80"/>
        <v>0</v>
      </c>
      <c r="Z143" s="12">
        <f t="shared" si="80"/>
        <v>0</v>
      </c>
      <c r="AA143" s="12">
        <f t="shared" si="80"/>
        <v>0</v>
      </c>
      <c r="AB143" s="12">
        <f t="shared" si="80"/>
        <v>0</v>
      </c>
      <c r="AC143" s="12">
        <f t="shared" si="80"/>
        <v>0</v>
      </c>
      <c r="AD143" s="12">
        <f t="shared" si="80"/>
        <v>0</v>
      </c>
      <c r="AE143" s="12">
        <f t="shared" si="80"/>
        <v>0</v>
      </c>
      <c r="AF143" s="12">
        <f t="shared" si="80"/>
        <v>0</v>
      </c>
      <c r="AG143" s="12">
        <f t="shared" si="80"/>
        <v>0</v>
      </c>
      <c r="AH143" s="12">
        <f t="shared" si="80"/>
        <v>0</v>
      </c>
      <c r="AI143" s="12">
        <f>SUM(AI144:AI154)</f>
        <v>838748</v>
      </c>
      <c r="AJ143" s="36"/>
      <c r="AK143" s="36"/>
      <c r="AL143" s="36"/>
      <c r="AM143" s="36"/>
      <c r="AN143" s="36"/>
    </row>
    <row r="144" spans="1:40">
      <c r="A144" s="11" t="s">
        <v>147</v>
      </c>
      <c r="B144" s="16" t="s">
        <v>4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2"/>
      <c r="V144" s="2"/>
      <c r="W144" s="2"/>
      <c r="X144" s="17"/>
      <c r="Y144" s="36"/>
      <c r="Z144" s="40"/>
      <c r="AA144" s="40"/>
      <c r="AB144" s="40"/>
      <c r="AC144" s="40"/>
      <c r="AD144" s="53"/>
      <c r="AE144" s="53"/>
      <c r="AF144" s="69"/>
      <c r="AG144" s="69"/>
      <c r="AH144" s="69"/>
      <c r="AI144" s="12">
        <v>387058</v>
      </c>
      <c r="AJ144" s="36"/>
      <c r="AK144" s="36"/>
      <c r="AL144" s="36"/>
      <c r="AM144" s="36"/>
      <c r="AN144" s="36"/>
    </row>
    <row r="145" spans="1:42">
      <c r="A145" s="11" t="s">
        <v>148</v>
      </c>
      <c r="B145" s="16" t="s">
        <v>4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2"/>
      <c r="V145" s="2"/>
      <c r="W145" s="2"/>
      <c r="X145" s="17"/>
      <c r="Y145" s="36"/>
      <c r="Z145" s="36"/>
      <c r="AA145" s="36"/>
      <c r="AB145" s="36"/>
      <c r="AC145" s="36"/>
      <c r="AD145" s="47"/>
      <c r="AE145" s="47"/>
      <c r="AF145" s="47"/>
      <c r="AG145" s="47"/>
      <c r="AH145" s="47"/>
      <c r="AI145" s="12">
        <v>0</v>
      </c>
      <c r="AJ145" s="36"/>
      <c r="AK145" s="36"/>
      <c r="AL145" s="36"/>
      <c r="AM145" s="36"/>
      <c r="AN145" s="36"/>
      <c r="AO145" s="63"/>
    </row>
    <row r="146" spans="1:42">
      <c r="A146" s="11" t="s">
        <v>149</v>
      </c>
      <c r="B146" s="16" t="s">
        <v>4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2"/>
      <c r="V146" s="2"/>
      <c r="W146" s="2"/>
      <c r="X146" s="17"/>
      <c r="Y146" s="36"/>
      <c r="Z146" s="40"/>
      <c r="AA146" s="40"/>
      <c r="AB146" s="40"/>
      <c r="AC146" s="40"/>
      <c r="AD146" s="53"/>
      <c r="AE146" s="53"/>
      <c r="AF146" s="69"/>
      <c r="AG146" s="69"/>
      <c r="AH146" s="69"/>
      <c r="AI146" s="12">
        <v>13378</v>
      </c>
      <c r="AJ146" s="36"/>
      <c r="AK146" s="36"/>
      <c r="AL146" s="36"/>
      <c r="AM146" s="36"/>
      <c r="AN146" s="36"/>
      <c r="AO146" s="63"/>
    </row>
    <row r="147" spans="1:42">
      <c r="A147" s="11" t="s">
        <v>150</v>
      </c>
      <c r="B147" s="16" t="s">
        <v>4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2"/>
      <c r="V147" s="2"/>
      <c r="W147" s="2"/>
      <c r="X147" s="17"/>
      <c r="Y147" s="36"/>
      <c r="Z147" s="40"/>
      <c r="AA147" s="40"/>
      <c r="AB147" s="40"/>
      <c r="AC147" s="40"/>
      <c r="AD147" s="53"/>
      <c r="AE147" s="53"/>
      <c r="AF147" s="69"/>
      <c r="AG147" s="69"/>
      <c r="AH147" s="69"/>
      <c r="AI147" s="12">
        <v>29687</v>
      </c>
      <c r="AJ147" s="36"/>
      <c r="AK147" s="36"/>
      <c r="AL147" s="36"/>
      <c r="AM147" s="36"/>
      <c r="AN147" s="36"/>
      <c r="AO147" s="63"/>
    </row>
    <row r="148" spans="1:42">
      <c r="A148" s="11" t="s">
        <v>120</v>
      </c>
      <c r="B148" s="16" t="s">
        <v>4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39"/>
      <c r="Z148" s="39"/>
      <c r="AA148" s="39"/>
      <c r="AB148" s="39"/>
      <c r="AC148" s="39"/>
      <c r="AD148" s="53"/>
      <c r="AE148" s="53"/>
      <c r="AF148" s="47"/>
      <c r="AG148" s="47"/>
      <c r="AH148" s="47"/>
      <c r="AI148" s="15">
        <v>174442</v>
      </c>
      <c r="AJ148" s="36"/>
      <c r="AK148" s="36"/>
      <c r="AL148" s="36"/>
      <c r="AM148" s="36"/>
      <c r="AN148" s="36"/>
      <c r="AO148" s="63"/>
    </row>
    <row r="149" spans="1:42">
      <c r="A149" s="11" t="s">
        <v>151</v>
      </c>
      <c r="B149" s="16" t="s">
        <v>4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39"/>
      <c r="Z149" s="39"/>
      <c r="AA149" s="39"/>
      <c r="AB149" s="39"/>
      <c r="AC149" s="39"/>
      <c r="AD149" s="53"/>
      <c r="AE149" s="53"/>
      <c r="AF149" s="69"/>
      <c r="AG149" s="47"/>
      <c r="AH149" s="47"/>
      <c r="AI149" s="15">
        <v>74047</v>
      </c>
      <c r="AJ149" s="36"/>
      <c r="AK149" s="36"/>
      <c r="AL149" s="36"/>
      <c r="AM149" s="36"/>
      <c r="AN149" s="36"/>
      <c r="AO149" s="63"/>
    </row>
    <row r="150" spans="1:42">
      <c r="A150" s="11" t="s">
        <v>152</v>
      </c>
      <c r="B150" s="16" t="s">
        <v>4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"/>
      <c r="V150" s="2"/>
      <c r="W150" s="2"/>
      <c r="X150" s="17"/>
      <c r="Y150" s="36"/>
      <c r="Z150" s="53"/>
      <c r="AA150" s="40"/>
      <c r="AB150" s="40"/>
      <c r="AC150" s="46"/>
      <c r="AD150" s="46"/>
      <c r="AE150" s="47"/>
      <c r="AF150" s="47"/>
      <c r="AG150" s="47"/>
      <c r="AH150" s="47"/>
      <c r="AI150" s="12">
        <v>6845</v>
      </c>
      <c r="AL150" s="59"/>
      <c r="AM150" s="61"/>
      <c r="AN150" s="36"/>
      <c r="AO150" s="63"/>
      <c r="AP150" s="48"/>
    </row>
    <row r="151" spans="1:42">
      <c r="A151" s="11" t="s">
        <v>153</v>
      </c>
      <c r="B151" s="16" t="s">
        <v>4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2"/>
      <c r="V151" s="2"/>
      <c r="W151" s="2"/>
      <c r="X151" s="17"/>
      <c r="Y151" s="36"/>
      <c r="Z151" s="53"/>
      <c r="AA151" s="40"/>
      <c r="AB151" s="40"/>
      <c r="AC151" s="40"/>
      <c r="AD151" s="53"/>
      <c r="AE151" s="53"/>
      <c r="AF151" s="69"/>
      <c r="AG151" s="69"/>
      <c r="AH151" s="69"/>
      <c r="AI151" s="13">
        <v>7534</v>
      </c>
      <c r="AL151" s="60"/>
      <c r="AM151" s="59"/>
      <c r="AN151" s="36"/>
      <c r="AO151" s="59"/>
      <c r="AP151" s="48"/>
    </row>
    <row r="152" spans="1:42">
      <c r="A152" s="11" t="s">
        <v>113</v>
      </c>
      <c r="B152" s="16" t="s">
        <v>4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2"/>
      <c r="V152" s="2"/>
      <c r="W152" s="2"/>
      <c r="X152" s="17"/>
      <c r="Y152" s="36"/>
      <c r="Z152" s="53"/>
      <c r="AA152" s="36"/>
      <c r="AB152" s="36"/>
      <c r="AC152" s="36"/>
      <c r="AD152" s="53"/>
      <c r="AE152" s="53"/>
      <c r="AF152" s="69"/>
      <c r="AG152" s="69"/>
      <c r="AH152" s="69"/>
      <c r="AI152" s="12">
        <v>0</v>
      </c>
      <c r="AP152" s="62"/>
    </row>
    <row r="153" spans="1:42">
      <c r="A153" s="11" t="s">
        <v>154</v>
      </c>
      <c r="B153" s="16" t="s">
        <v>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2"/>
      <c r="V153" s="2"/>
      <c r="W153" s="2"/>
      <c r="X153" s="17"/>
      <c r="Y153" s="36"/>
      <c r="Z153" s="53"/>
      <c r="AA153" s="40"/>
      <c r="AB153" s="40"/>
      <c r="AC153" s="40"/>
      <c r="AD153" s="53"/>
      <c r="AE153" s="53"/>
      <c r="AF153" s="69"/>
      <c r="AG153" s="69"/>
      <c r="AH153" s="69"/>
      <c r="AI153" s="12">
        <v>114719</v>
      </c>
    </row>
    <row r="154" spans="1:42">
      <c r="A154" s="11" t="s">
        <v>36</v>
      </c>
      <c r="B154" s="16" t="s">
        <v>4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2"/>
      <c r="V154" s="2"/>
      <c r="W154" s="2"/>
      <c r="X154" s="17"/>
      <c r="Y154" s="36"/>
      <c r="Z154" s="53"/>
      <c r="AA154" s="36"/>
      <c r="AB154" s="36"/>
      <c r="AC154" s="36"/>
      <c r="AD154" s="36"/>
      <c r="AE154" s="36"/>
      <c r="AF154" s="36"/>
      <c r="AG154" s="36"/>
      <c r="AH154" s="36"/>
      <c r="AI154" s="12">
        <v>31038</v>
      </c>
      <c r="AJ154" s="36"/>
    </row>
    <row r="155" spans="1:42">
      <c r="A155" s="9" t="s">
        <v>13</v>
      </c>
      <c r="B155" s="16" t="s">
        <v>4</v>
      </c>
      <c r="C155" s="15">
        <f t="shared" ref="C155:AH155" si="81">SUM(C156:C163)</f>
        <v>0</v>
      </c>
      <c r="D155" s="15">
        <f t="shared" si="81"/>
        <v>0</v>
      </c>
      <c r="E155" s="15">
        <f t="shared" si="81"/>
        <v>0</v>
      </c>
      <c r="F155" s="15">
        <f t="shared" si="81"/>
        <v>0</v>
      </c>
      <c r="G155" s="15">
        <f t="shared" si="81"/>
        <v>0</v>
      </c>
      <c r="H155" s="15">
        <f t="shared" si="81"/>
        <v>0</v>
      </c>
      <c r="I155" s="15">
        <f t="shared" si="81"/>
        <v>0</v>
      </c>
      <c r="J155" s="15">
        <f t="shared" si="81"/>
        <v>0</v>
      </c>
      <c r="K155" s="15">
        <f t="shared" si="81"/>
        <v>0</v>
      </c>
      <c r="L155" s="15">
        <f t="shared" si="81"/>
        <v>0</v>
      </c>
      <c r="M155" s="15">
        <f t="shared" si="81"/>
        <v>0</v>
      </c>
      <c r="N155" s="15">
        <f t="shared" si="81"/>
        <v>0</v>
      </c>
      <c r="O155" s="15">
        <f t="shared" si="81"/>
        <v>0</v>
      </c>
      <c r="P155" s="15">
        <f t="shared" si="81"/>
        <v>0</v>
      </c>
      <c r="Q155" s="15">
        <f t="shared" si="81"/>
        <v>0</v>
      </c>
      <c r="R155" s="15">
        <f t="shared" si="81"/>
        <v>0</v>
      </c>
      <c r="S155" s="15">
        <f t="shared" si="81"/>
        <v>0</v>
      </c>
      <c r="T155" s="15">
        <f t="shared" si="81"/>
        <v>0</v>
      </c>
      <c r="U155" s="15">
        <f t="shared" si="81"/>
        <v>0</v>
      </c>
      <c r="V155" s="15">
        <f t="shared" si="81"/>
        <v>0</v>
      </c>
      <c r="W155" s="15">
        <f t="shared" si="81"/>
        <v>0</v>
      </c>
      <c r="X155" s="15">
        <f t="shared" si="81"/>
        <v>0</v>
      </c>
      <c r="Y155" s="15">
        <f t="shared" si="81"/>
        <v>0</v>
      </c>
      <c r="Z155" s="15">
        <f t="shared" si="81"/>
        <v>0</v>
      </c>
      <c r="AA155" s="15">
        <f t="shared" si="81"/>
        <v>0</v>
      </c>
      <c r="AB155" s="15">
        <f t="shared" si="81"/>
        <v>0</v>
      </c>
      <c r="AC155" s="15">
        <f t="shared" si="81"/>
        <v>0</v>
      </c>
      <c r="AD155" s="15">
        <f t="shared" si="81"/>
        <v>0</v>
      </c>
      <c r="AE155" s="15">
        <f t="shared" si="81"/>
        <v>0</v>
      </c>
      <c r="AF155" s="15">
        <f t="shared" si="81"/>
        <v>0</v>
      </c>
      <c r="AG155" s="15">
        <f t="shared" si="81"/>
        <v>0</v>
      </c>
      <c r="AH155" s="15">
        <f t="shared" si="81"/>
        <v>0</v>
      </c>
      <c r="AI155" s="15">
        <f>SUM(AI156:AI163)</f>
        <v>2276953</v>
      </c>
    </row>
    <row r="156" spans="1:42">
      <c r="A156" s="11" t="s">
        <v>148</v>
      </c>
      <c r="B156" s="16" t="s">
        <v>4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4"/>
      <c r="V156" s="24"/>
      <c r="W156" s="24"/>
      <c r="X156" s="17"/>
      <c r="Y156" s="36"/>
      <c r="Z156" s="36"/>
      <c r="AA156" s="36"/>
      <c r="AB156" s="36"/>
      <c r="AC156" s="36"/>
      <c r="AD156" s="47"/>
      <c r="AE156" s="47"/>
      <c r="AF156" s="47"/>
      <c r="AG156" s="47"/>
      <c r="AH156" s="47"/>
      <c r="AI156" s="15">
        <v>1700161</v>
      </c>
      <c r="AJ156" s="47"/>
    </row>
    <row r="157" spans="1:42">
      <c r="A157" s="11" t="s">
        <v>149</v>
      </c>
      <c r="B157" s="16" t="s">
        <v>4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2"/>
      <c r="V157" s="2"/>
      <c r="W157" s="2"/>
      <c r="X157" s="17"/>
      <c r="Y157" s="36"/>
      <c r="Z157" s="36"/>
      <c r="AA157" s="36"/>
      <c r="AB157" s="36"/>
      <c r="AC157" s="36"/>
      <c r="AD157" s="47"/>
      <c r="AE157" s="47"/>
      <c r="AF157" s="47"/>
      <c r="AG157" s="47"/>
      <c r="AH157" s="47"/>
      <c r="AI157" s="12">
        <v>38644</v>
      </c>
    </row>
    <row r="158" spans="1:42">
      <c r="A158" s="11" t="s">
        <v>155</v>
      </c>
      <c r="B158" s="16" t="s">
        <v>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2"/>
      <c r="V158" s="2"/>
      <c r="W158" s="2"/>
      <c r="X158" s="17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12">
        <v>62797</v>
      </c>
    </row>
    <row r="159" spans="1:42">
      <c r="A159" s="11" t="s">
        <v>156</v>
      </c>
      <c r="B159" s="16" t="s">
        <v>4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2"/>
      <c r="V159" s="2"/>
      <c r="W159" s="2"/>
      <c r="X159" s="17"/>
      <c r="Y159" s="36"/>
      <c r="Z159" s="40"/>
      <c r="AA159" s="40"/>
      <c r="AB159" s="40"/>
      <c r="AC159" s="40"/>
      <c r="AD159" s="40"/>
      <c r="AE159" s="40"/>
      <c r="AF159" s="40"/>
      <c r="AG159" s="40"/>
      <c r="AH159" s="40"/>
      <c r="AI159" s="12">
        <v>25224</v>
      </c>
    </row>
    <row r="160" spans="1:42">
      <c r="A160" s="11" t="s">
        <v>120</v>
      </c>
      <c r="B160" s="16" t="s">
        <v>4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2"/>
      <c r="V160" s="2"/>
      <c r="W160" s="2"/>
      <c r="X160" s="17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12">
        <v>61641</v>
      </c>
    </row>
    <row r="161" spans="1:36">
      <c r="A161" s="11" t="s">
        <v>157</v>
      </c>
      <c r="B161" s="16" t="s">
        <v>4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2"/>
      <c r="V161" s="2"/>
      <c r="W161" s="2"/>
      <c r="X161" s="17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12">
        <v>158049</v>
      </c>
    </row>
    <row r="162" spans="1:36">
      <c r="A162" s="11" t="s">
        <v>154</v>
      </c>
      <c r="B162" s="16" t="s">
        <v>4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2"/>
      <c r="V162" s="2"/>
      <c r="W162" s="2"/>
      <c r="X162" s="17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12">
        <v>109867</v>
      </c>
    </row>
    <row r="163" spans="1:36">
      <c r="A163" s="11" t="s">
        <v>36</v>
      </c>
      <c r="B163" s="16" t="s">
        <v>4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2"/>
      <c r="V163" s="2"/>
      <c r="W163" s="2"/>
      <c r="X163" s="17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12">
        <v>120570</v>
      </c>
    </row>
    <row r="164" spans="1:36">
      <c r="A164" s="9" t="s">
        <v>158</v>
      </c>
      <c r="B164" s="16" t="s">
        <v>4</v>
      </c>
      <c r="C164" s="12">
        <f t="shared" ref="C164:AH164" si="82">SUM(C165:C168)</f>
        <v>0</v>
      </c>
      <c r="D164" s="12">
        <f t="shared" si="82"/>
        <v>0</v>
      </c>
      <c r="E164" s="12">
        <f t="shared" si="82"/>
        <v>0</v>
      </c>
      <c r="F164" s="12">
        <f t="shared" si="82"/>
        <v>0</v>
      </c>
      <c r="G164" s="12">
        <f t="shared" si="82"/>
        <v>0</v>
      </c>
      <c r="H164" s="12">
        <f t="shared" si="82"/>
        <v>0</v>
      </c>
      <c r="I164" s="12">
        <f t="shared" si="82"/>
        <v>0</v>
      </c>
      <c r="J164" s="12">
        <f t="shared" si="82"/>
        <v>0</v>
      </c>
      <c r="K164" s="12">
        <f t="shared" si="82"/>
        <v>0</v>
      </c>
      <c r="L164" s="12">
        <f t="shared" si="82"/>
        <v>0</v>
      </c>
      <c r="M164" s="12">
        <f t="shared" si="82"/>
        <v>0</v>
      </c>
      <c r="N164" s="12">
        <f t="shared" si="82"/>
        <v>0</v>
      </c>
      <c r="O164" s="12">
        <f t="shared" si="82"/>
        <v>0</v>
      </c>
      <c r="P164" s="12">
        <f t="shared" si="82"/>
        <v>0</v>
      </c>
      <c r="Q164" s="12">
        <f t="shared" si="82"/>
        <v>0</v>
      </c>
      <c r="R164" s="12">
        <f t="shared" si="82"/>
        <v>0</v>
      </c>
      <c r="S164" s="12">
        <f t="shared" si="82"/>
        <v>0</v>
      </c>
      <c r="T164" s="12">
        <f t="shared" si="82"/>
        <v>0</v>
      </c>
      <c r="U164" s="12">
        <f t="shared" si="82"/>
        <v>0</v>
      </c>
      <c r="V164" s="12">
        <f t="shared" si="82"/>
        <v>0</v>
      </c>
      <c r="W164" s="12">
        <f t="shared" si="82"/>
        <v>0</v>
      </c>
      <c r="X164" s="12">
        <f t="shared" si="82"/>
        <v>0</v>
      </c>
      <c r="Y164" s="12">
        <f t="shared" si="82"/>
        <v>0</v>
      </c>
      <c r="Z164" s="12">
        <f t="shared" si="82"/>
        <v>0</v>
      </c>
      <c r="AA164" s="12">
        <f t="shared" si="82"/>
        <v>0</v>
      </c>
      <c r="AB164" s="12">
        <f t="shared" si="82"/>
        <v>0</v>
      </c>
      <c r="AC164" s="12">
        <f t="shared" si="82"/>
        <v>0</v>
      </c>
      <c r="AD164" s="12">
        <f t="shared" si="82"/>
        <v>0</v>
      </c>
      <c r="AE164" s="12">
        <f t="shared" si="82"/>
        <v>0</v>
      </c>
      <c r="AF164" s="12">
        <f t="shared" si="82"/>
        <v>0</v>
      </c>
      <c r="AG164" s="12">
        <f t="shared" si="82"/>
        <v>0</v>
      </c>
      <c r="AH164" s="12">
        <f t="shared" si="82"/>
        <v>0</v>
      </c>
      <c r="AI164" s="12">
        <f>SUM(AI165:AI168)</f>
        <v>734479</v>
      </c>
      <c r="AJ164" s="57"/>
    </row>
    <row r="165" spans="1:36">
      <c r="A165" s="11" t="s">
        <v>17</v>
      </c>
      <c r="B165" s="16" t="s">
        <v>4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25"/>
      <c r="V165" s="25"/>
      <c r="W165" s="25"/>
      <c r="X165" s="17"/>
      <c r="Y165" s="36"/>
      <c r="Z165" s="53"/>
      <c r="AA165" s="53"/>
      <c r="AB165" s="53"/>
      <c r="AC165" s="53"/>
      <c r="AD165" s="53"/>
      <c r="AE165" s="53"/>
      <c r="AF165" s="69"/>
      <c r="AG165" s="69"/>
      <c r="AH165" s="69"/>
      <c r="AI165" s="15">
        <v>2865528</v>
      </c>
      <c r="AJ165" s="57"/>
    </row>
    <row r="166" spans="1:36">
      <c r="A166" s="11" t="s">
        <v>159</v>
      </c>
      <c r="B166" s="16" t="s">
        <v>4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2"/>
      <c r="V166" s="2"/>
      <c r="W166" s="2"/>
      <c r="X166" s="17"/>
      <c r="Y166" s="36"/>
      <c r="Z166" s="36"/>
      <c r="AA166" s="36"/>
      <c r="AB166" s="36"/>
      <c r="AC166" s="45"/>
      <c r="AD166" s="45"/>
      <c r="AE166" s="45"/>
      <c r="AF166" s="45"/>
      <c r="AG166" s="45"/>
      <c r="AH166" s="45"/>
      <c r="AI166" s="15">
        <v>117619</v>
      </c>
      <c r="AJ166" s="57"/>
    </row>
    <row r="167" spans="1:36">
      <c r="A167" s="11" t="s">
        <v>160</v>
      </c>
      <c r="B167" s="16" t="s">
        <v>4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2"/>
      <c r="V167" s="2"/>
      <c r="W167" s="2"/>
      <c r="X167" s="2"/>
      <c r="Y167" s="36"/>
      <c r="Z167" s="36"/>
      <c r="AA167" s="36"/>
      <c r="AB167" s="36"/>
      <c r="AC167" s="45"/>
      <c r="AD167" s="45"/>
      <c r="AE167" s="45"/>
      <c r="AF167" s="45"/>
      <c r="AG167" s="45"/>
      <c r="AH167" s="45"/>
      <c r="AI167" s="12">
        <v>92</v>
      </c>
      <c r="AJ167" s="57"/>
    </row>
    <row r="168" spans="1:36">
      <c r="A168" s="11" t="s">
        <v>161</v>
      </c>
      <c r="B168" s="16" t="s">
        <v>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2"/>
      <c r="V168" s="2"/>
      <c r="W168" s="2"/>
      <c r="X168" s="17"/>
      <c r="Y168" s="36"/>
      <c r="Z168" s="36"/>
      <c r="AA168" s="36"/>
      <c r="AB168" s="36"/>
      <c r="AC168" s="45"/>
      <c r="AD168" s="45"/>
      <c r="AE168" s="45"/>
      <c r="AF168" s="45"/>
      <c r="AG168" s="45"/>
      <c r="AH168" s="45"/>
      <c r="AI168" s="12">
        <v>-2248760</v>
      </c>
      <c r="AJ168" s="57"/>
    </row>
    <row r="169" spans="1:36">
      <c r="A169" s="9" t="s">
        <v>162</v>
      </c>
      <c r="B169" s="16" t="s">
        <v>4</v>
      </c>
      <c r="C169" s="12">
        <f t="shared" ref="C169:AH169" si="83">C164+C170</f>
        <v>0</v>
      </c>
      <c r="D169" s="12">
        <f t="shared" si="83"/>
        <v>0</v>
      </c>
      <c r="E169" s="12">
        <f t="shared" si="83"/>
        <v>0</v>
      </c>
      <c r="F169" s="12">
        <f t="shared" si="83"/>
        <v>0</v>
      </c>
      <c r="G169" s="12">
        <f t="shared" si="83"/>
        <v>0</v>
      </c>
      <c r="H169" s="12">
        <f t="shared" si="83"/>
        <v>0</v>
      </c>
      <c r="I169" s="12">
        <f t="shared" si="83"/>
        <v>0</v>
      </c>
      <c r="J169" s="12">
        <f t="shared" si="83"/>
        <v>0</v>
      </c>
      <c r="K169" s="12">
        <f t="shared" si="83"/>
        <v>0</v>
      </c>
      <c r="L169" s="12">
        <f t="shared" si="83"/>
        <v>0</v>
      </c>
      <c r="M169" s="12">
        <f t="shared" si="83"/>
        <v>0</v>
      </c>
      <c r="N169" s="12">
        <f t="shared" si="83"/>
        <v>0</v>
      </c>
      <c r="O169" s="12">
        <f t="shared" si="83"/>
        <v>0</v>
      </c>
      <c r="P169" s="12">
        <f t="shared" si="83"/>
        <v>0</v>
      </c>
      <c r="Q169" s="12">
        <f t="shared" si="83"/>
        <v>0</v>
      </c>
      <c r="R169" s="12">
        <f t="shared" si="83"/>
        <v>0</v>
      </c>
      <c r="S169" s="12">
        <f t="shared" si="83"/>
        <v>0</v>
      </c>
      <c r="T169" s="12">
        <f t="shared" si="83"/>
        <v>0</v>
      </c>
      <c r="U169" s="12">
        <f t="shared" si="83"/>
        <v>0</v>
      </c>
      <c r="V169" s="12">
        <f t="shared" si="83"/>
        <v>0</v>
      </c>
      <c r="W169" s="12">
        <f t="shared" si="83"/>
        <v>0</v>
      </c>
      <c r="X169" s="12">
        <f t="shared" si="83"/>
        <v>0</v>
      </c>
      <c r="Y169" s="12">
        <f t="shared" si="83"/>
        <v>0</v>
      </c>
      <c r="Z169" s="12">
        <f t="shared" si="83"/>
        <v>0</v>
      </c>
      <c r="AA169" s="12">
        <f t="shared" si="83"/>
        <v>0</v>
      </c>
      <c r="AB169" s="12">
        <f t="shared" si="83"/>
        <v>0</v>
      </c>
      <c r="AC169" s="12">
        <f t="shared" si="83"/>
        <v>0</v>
      </c>
      <c r="AD169" s="12">
        <f t="shared" si="83"/>
        <v>0</v>
      </c>
      <c r="AE169" s="12">
        <f t="shared" si="83"/>
        <v>0</v>
      </c>
      <c r="AF169" s="12">
        <f t="shared" si="83"/>
        <v>0</v>
      </c>
      <c r="AG169" s="12">
        <f t="shared" si="83"/>
        <v>0</v>
      </c>
      <c r="AH169" s="12">
        <f t="shared" si="83"/>
        <v>0</v>
      </c>
      <c r="AI169" s="12">
        <f>AI164+AI170</f>
        <v>815436</v>
      </c>
      <c r="AJ169" s="57"/>
    </row>
    <row r="170" spans="1:36">
      <c r="A170" s="11" t="s">
        <v>163</v>
      </c>
      <c r="B170" s="16" t="s">
        <v>4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2"/>
      <c r="V170" s="2"/>
      <c r="W170" s="2"/>
      <c r="X170" s="17"/>
      <c r="Y170" s="36"/>
      <c r="Z170" s="40"/>
      <c r="AA170" s="40"/>
      <c r="AB170" s="40"/>
      <c r="AC170" s="46"/>
      <c r="AD170" s="46"/>
      <c r="AE170" s="64"/>
      <c r="AF170" s="64"/>
      <c r="AG170" s="64"/>
      <c r="AH170" s="64"/>
      <c r="AI170" s="12">
        <v>80957</v>
      </c>
      <c r="AJ170" s="57"/>
    </row>
    <row r="171" spans="1:36">
      <c r="A171" s="11"/>
      <c r="B171" s="16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2"/>
      <c r="V171" s="2"/>
      <c r="W171" s="2"/>
      <c r="X171" s="17"/>
      <c r="Y171" s="36"/>
      <c r="Z171" s="40"/>
      <c r="AA171" s="40"/>
      <c r="AB171" s="40"/>
      <c r="AC171" s="46"/>
      <c r="AD171" s="46"/>
      <c r="AE171" s="64"/>
      <c r="AF171" s="64"/>
      <c r="AG171" s="64"/>
      <c r="AH171" s="64"/>
      <c r="AI171" s="64"/>
      <c r="AJ171" s="57"/>
    </row>
    <row r="172" spans="1:36">
      <c r="A172" s="11"/>
      <c r="B172" s="16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2"/>
      <c r="V172" s="2"/>
      <c r="W172" s="2"/>
      <c r="X172" s="17"/>
      <c r="Y172" s="36"/>
      <c r="Z172" s="36"/>
      <c r="AA172" s="36"/>
      <c r="AB172" s="36"/>
      <c r="AC172" s="45"/>
      <c r="AD172" s="45"/>
      <c r="AE172" s="65"/>
      <c r="AF172" s="64"/>
      <c r="AG172" s="64"/>
      <c r="AH172" s="64"/>
      <c r="AI172" s="64"/>
      <c r="AJ172" s="57"/>
    </row>
    <row r="173" spans="1:36">
      <c r="A173" s="11"/>
      <c r="B173" s="16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2"/>
      <c r="V173" s="2"/>
      <c r="W173" s="2"/>
      <c r="X173" s="17"/>
      <c r="Y173" s="36"/>
      <c r="Z173" s="36"/>
      <c r="AA173" s="36"/>
      <c r="AB173" s="36"/>
      <c r="AC173" s="45"/>
      <c r="AD173" s="45"/>
      <c r="AE173" s="65"/>
      <c r="AF173" s="64"/>
      <c r="AG173" s="64"/>
      <c r="AH173" s="64"/>
      <c r="AI173" s="64"/>
      <c r="AJ173" s="57"/>
    </row>
    <row r="174" spans="1:36">
      <c r="A174" s="41"/>
      <c r="B174" s="42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6"/>
      <c r="Y174" s="35"/>
      <c r="Z174" s="35"/>
      <c r="AA174" s="35"/>
      <c r="AB174" s="35"/>
      <c r="AC174" s="12"/>
      <c r="AD174" s="12"/>
      <c r="AE174" s="66"/>
      <c r="AF174" s="66"/>
      <c r="AG174" s="66"/>
      <c r="AH174" s="66"/>
      <c r="AI174" s="66"/>
      <c r="AJ174" s="57"/>
    </row>
  </sheetData>
  <phoneticPr fontId="262" type="noConversion"/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P41"/>
  <sheetViews>
    <sheetView showGridLines="0" tabSelected="1" zoomScale="90" zoomScaleNormal="90" workbookViewId="0">
      <pane xSplit="2" ySplit="5" topLeftCell="AA6" activePane="bottomRight" state="frozen"/>
      <selection pane="topRight" activeCell="C1" sqref="C1"/>
      <selection pane="bottomLeft" activeCell="A6" sqref="A6"/>
      <selection pane="bottomRight" activeCell="AR12" sqref="AR12"/>
    </sheetView>
  </sheetViews>
  <sheetFormatPr defaultColWidth="9.09765625" defaultRowHeight="13" outlineLevelCol="1"/>
  <cols>
    <col min="1" max="1" width="66.09765625" style="98" bestFit="1" customWidth="1"/>
    <col min="2" max="2" width="12.59765625" style="98" bestFit="1" customWidth="1"/>
    <col min="3" max="6" width="12.59765625" style="98" customWidth="1"/>
    <col min="7" max="7" width="12.69921875" style="98" bestFit="1" customWidth="1"/>
    <col min="8" max="11" width="12.69921875" style="98" hidden="1" customWidth="1" outlineLevel="1"/>
    <col min="12" max="12" width="12.69921875" style="98" bestFit="1" customWidth="1" collapsed="1"/>
    <col min="13" max="16" width="12.69921875" style="98" hidden="1" customWidth="1" outlineLevel="1"/>
    <col min="17" max="17" width="12.69921875" style="98" bestFit="1" customWidth="1" collapsed="1"/>
    <col min="18" max="21" width="12.69921875" style="98" hidden="1" customWidth="1" outlineLevel="1"/>
    <col min="22" max="22" width="12.69921875" style="98" bestFit="1" customWidth="1" collapsed="1"/>
    <col min="23" max="26" width="12.69921875" style="98" hidden="1" customWidth="1" outlineLevel="1"/>
    <col min="27" max="27" width="12.69921875" style="98" bestFit="1" customWidth="1" collapsed="1"/>
    <col min="28" max="31" width="12.69921875" style="98" hidden="1" customWidth="1" outlineLevel="1"/>
    <col min="32" max="32" width="12.69921875" style="98" bestFit="1" customWidth="1" collapsed="1"/>
    <col min="33" max="36" width="12.69921875" style="98" hidden="1" customWidth="1" outlineLevel="1"/>
    <col min="37" max="37" width="12.69921875" style="98" bestFit="1" customWidth="1" collapsed="1"/>
    <col min="38" max="41" width="12.69921875" style="98" hidden="1" customWidth="1" outlineLevel="1"/>
    <col min="42" max="42" width="12.69921875" style="98" bestFit="1" customWidth="1" collapsed="1"/>
    <col min="43" max="16384" width="9.09765625" style="98"/>
  </cols>
  <sheetData>
    <row r="1" spans="1:4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1:42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</row>
    <row r="3" spans="1:42">
      <c r="A3" s="96"/>
      <c r="B3" s="96"/>
      <c r="C3" s="103"/>
      <c r="D3" s="103"/>
      <c r="E3" s="96"/>
      <c r="F3" s="96"/>
      <c r="G3" s="96"/>
      <c r="H3" s="101"/>
      <c r="I3" s="101"/>
      <c r="J3" s="101"/>
      <c r="K3" s="101"/>
      <c r="L3" s="96"/>
      <c r="M3" s="101"/>
      <c r="N3" s="101"/>
      <c r="O3" s="101"/>
      <c r="P3" s="101"/>
      <c r="Q3" s="96"/>
      <c r="R3" s="101"/>
      <c r="S3" s="109"/>
      <c r="T3" s="101"/>
      <c r="U3" s="101"/>
      <c r="V3" s="96"/>
      <c r="W3" s="101"/>
      <c r="X3" s="101"/>
      <c r="Y3" s="101"/>
      <c r="Z3" s="101"/>
      <c r="AA3" s="96"/>
      <c r="AB3" s="112"/>
      <c r="AC3" s="112"/>
      <c r="AD3" s="112"/>
      <c r="AE3" s="101"/>
      <c r="AF3" s="113"/>
      <c r="AG3" s="112"/>
      <c r="AH3" s="112"/>
      <c r="AI3" s="112"/>
      <c r="AJ3" s="101"/>
      <c r="AK3" s="113"/>
      <c r="AL3" s="112"/>
      <c r="AM3" s="112"/>
      <c r="AN3" s="112"/>
      <c r="AO3" s="101"/>
      <c r="AP3" s="113"/>
    </row>
    <row r="4" spans="1:42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109"/>
      <c r="T4" s="110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</row>
    <row r="5" spans="1:42">
      <c r="A5" s="99"/>
      <c r="B5" s="72" t="s">
        <v>1</v>
      </c>
      <c r="C5" s="73">
        <v>2013</v>
      </c>
      <c r="D5" s="73">
        <v>2014</v>
      </c>
      <c r="E5" s="73">
        <v>2015</v>
      </c>
      <c r="F5" s="73">
        <v>2016</v>
      </c>
      <c r="G5" s="73">
        <v>2017</v>
      </c>
      <c r="H5" s="108" t="s">
        <v>42</v>
      </c>
      <c r="I5" s="108" t="s">
        <v>44</v>
      </c>
      <c r="J5" s="108" t="s">
        <v>45</v>
      </c>
      <c r="K5" s="108" t="s">
        <v>46</v>
      </c>
      <c r="L5" s="73">
        <v>2018</v>
      </c>
      <c r="M5" s="108" t="s">
        <v>47</v>
      </c>
      <c r="N5" s="108" t="s">
        <v>48</v>
      </c>
      <c r="O5" s="108" t="s">
        <v>49</v>
      </c>
      <c r="P5" s="108" t="s">
        <v>50</v>
      </c>
      <c r="Q5" s="73">
        <v>2019</v>
      </c>
      <c r="R5" s="108" t="s">
        <v>51</v>
      </c>
      <c r="S5" s="108" t="s">
        <v>52</v>
      </c>
      <c r="T5" s="108" t="s">
        <v>53</v>
      </c>
      <c r="U5" s="108" t="s">
        <v>54</v>
      </c>
      <c r="V5" s="73">
        <v>2020</v>
      </c>
      <c r="W5" s="108" t="s">
        <v>55</v>
      </c>
      <c r="X5" s="108" t="s">
        <v>185</v>
      </c>
      <c r="Y5" s="108" t="s">
        <v>186</v>
      </c>
      <c r="Z5" s="108" t="s">
        <v>198</v>
      </c>
      <c r="AA5" s="73">
        <v>2021</v>
      </c>
      <c r="AB5" s="108" t="s">
        <v>203</v>
      </c>
      <c r="AC5" s="108" t="s">
        <v>204</v>
      </c>
      <c r="AD5" s="108" t="s">
        <v>205</v>
      </c>
      <c r="AE5" s="108" t="s">
        <v>206</v>
      </c>
      <c r="AF5" s="73">
        <v>2022</v>
      </c>
      <c r="AG5" s="108" t="s">
        <v>213</v>
      </c>
      <c r="AH5" s="108" t="s">
        <v>214</v>
      </c>
      <c r="AI5" s="108" t="s">
        <v>215</v>
      </c>
      <c r="AJ5" s="108" t="s">
        <v>216</v>
      </c>
      <c r="AK5" s="73">
        <v>2023</v>
      </c>
      <c r="AL5" s="108" t="s">
        <v>219</v>
      </c>
      <c r="AM5" s="108" t="s">
        <v>220</v>
      </c>
      <c r="AN5" s="108" t="s">
        <v>221</v>
      </c>
      <c r="AO5" s="108" t="s">
        <v>222</v>
      </c>
      <c r="AP5" s="73">
        <v>2024</v>
      </c>
    </row>
    <row r="6" spans="1:42">
      <c r="A6" s="128" t="s">
        <v>168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</row>
    <row r="7" spans="1:42">
      <c r="A7" s="126" t="s">
        <v>32</v>
      </c>
      <c r="B7" s="130" t="s">
        <v>4</v>
      </c>
      <c r="C7" s="114">
        <f t="shared" ref="C7:V7" si="0">C20+C21+C22+C24+C27+C28+C32</f>
        <v>1055829.2863924825</v>
      </c>
      <c r="D7" s="114">
        <f t="shared" si="0"/>
        <v>957930.21508588281</v>
      </c>
      <c r="E7" s="114">
        <f t="shared" si="0"/>
        <v>559454.26818206219</v>
      </c>
      <c r="F7" s="114">
        <f t="shared" si="0"/>
        <v>178367.56541839859</v>
      </c>
      <c r="G7" s="114">
        <f t="shared" si="0"/>
        <v>-810248.54587141308</v>
      </c>
      <c r="H7" s="114">
        <f t="shared" si="0"/>
        <v>-6278.6860660001839</v>
      </c>
      <c r="I7" s="114">
        <f t="shared" si="0"/>
        <v>-25197.797874692315</v>
      </c>
      <c r="J7" s="114">
        <f t="shared" si="0"/>
        <v>68910.608494292974</v>
      </c>
      <c r="K7" s="114">
        <f t="shared" si="0"/>
        <v>-119790.26369411849</v>
      </c>
      <c r="L7" s="114">
        <f t="shared" si="0"/>
        <v>-82356.139140518106</v>
      </c>
      <c r="M7" s="114">
        <f t="shared" si="0"/>
        <v>4779.965314800007</v>
      </c>
      <c r="N7" s="114">
        <f t="shared" si="0"/>
        <v>12114.326776166039</v>
      </c>
      <c r="O7" s="114">
        <f t="shared" si="0"/>
        <v>111867.45082153472</v>
      </c>
      <c r="P7" s="114">
        <f t="shared" si="0"/>
        <v>15409.801274863959</v>
      </c>
      <c r="Q7" s="114">
        <f t="shared" si="0"/>
        <v>144171.54418736501</v>
      </c>
      <c r="R7" s="114">
        <f t="shared" si="0"/>
        <v>51300.970000200214</v>
      </c>
      <c r="S7" s="114">
        <f t="shared" si="0"/>
        <v>127292.1695343001</v>
      </c>
      <c r="T7" s="114">
        <f t="shared" si="0"/>
        <v>265454.61869249982</v>
      </c>
      <c r="U7" s="114">
        <f t="shared" si="0"/>
        <v>121955.68651603849</v>
      </c>
      <c r="V7" s="114">
        <f t="shared" si="0"/>
        <v>566003.44474303874</v>
      </c>
      <c r="W7" s="114">
        <f>W20+W21+W22+W24+W27+W28+W32</f>
        <v>248315.53877809778</v>
      </c>
      <c r="X7" s="114">
        <f t="shared" ref="X7:Z7" si="1">X20+X21+X22+X24+X27+X28+X32</f>
        <v>314643.85952064465</v>
      </c>
      <c r="Y7" s="114">
        <f t="shared" si="1"/>
        <v>221058.28626416301</v>
      </c>
      <c r="Z7" s="114">
        <f t="shared" si="1"/>
        <v>232129.45635699993</v>
      </c>
      <c r="AA7" s="114">
        <f>SUM(W7:Z7)</f>
        <v>1016147.1409199054</v>
      </c>
      <c r="AB7" s="114">
        <v>134759.99999999994</v>
      </c>
      <c r="AC7" s="114">
        <v>236661.99999999997</v>
      </c>
      <c r="AD7" s="114">
        <v>250807</v>
      </c>
      <c r="AE7" s="114">
        <v>227106.00000000029</v>
      </c>
      <c r="AF7" s="114">
        <f>SUM(AB7:AE7)</f>
        <v>849335.00000000023</v>
      </c>
      <c r="AG7" s="114">
        <v>139011.99999999997</v>
      </c>
      <c r="AH7" s="114">
        <v>141774.99999999991</v>
      </c>
      <c r="AI7" s="114">
        <v>205631.00000000032</v>
      </c>
      <c r="AJ7" s="114">
        <v>189823.99999999988</v>
      </c>
      <c r="AK7" s="114">
        <f>SUM(AG7:AJ7)</f>
        <v>676242.00000000012</v>
      </c>
      <c r="AL7" s="114">
        <v>158521.00000000003</v>
      </c>
      <c r="AM7" s="114"/>
      <c r="AN7" s="114"/>
      <c r="AO7" s="114"/>
      <c r="AP7" s="114">
        <f>SUM(AL7:AO7)</f>
        <v>158521.00000000003</v>
      </c>
    </row>
    <row r="8" spans="1:42">
      <c r="A8" s="131" t="s">
        <v>33</v>
      </c>
      <c r="B8" s="126" t="s">
        <v>5</v>
      </c>
      <c r="C8" s="115">
        <f t="shared" ref="C8:AA8" si="2">IFERROR(C7/C20,0)</f>
        <v>0.3098061249584031</v>
      </c>
      <c r="D8" s="115">
        <f t="shared" si="2"/>
        <v>0.26267193545133444</v>
      </c>
      <c r="E8" s="115">
        <f t="shared" si="2"/>
        <v>0.18733874162432071</v>
      </c>
      <c r="F8" s="115">
        <f t="shared" si="2"/>
        <v>8.8778201864885775E-2</v>
      </c>
      <c r="G8" s="115">
        <f t="shared" si="2"/>
        <v>-0.49185909998211236</v>
      </c>
      <c r="H8" s="115">
        <f t="shared" si="2"/>
        <v>-1.574028004982661E-2</v>
      </c>
      <c r="I8" s="115">
        <f t="shared" si="2"/>
        <v>-5.7195003484644652E-2</v>
      </c>
      <c r="J8" s="115">
        <f t="shared" si="2"/>
        <v>0.13533916438895877</v>
      </c>
      <c r="K8" s="115">
        <f t="shared" si="2"/>
        <v>-0.26157375081733236</v>
      </c>
      <c r="L8" s="115">
        <f t="shared" si="2"/>
        <v>-4.5586718073506727E-2</v>
      </c>
      <c r="M8" s="115">
        <f t="shared" si="2"/>
        <v>1.1296398570967226E-2</v>
      </c>
      <c r="N8" s="115">
        <f t="shared" si="2"/>
        <v>2.7060018590496168E-2</v>
      </c>
      <c r="O8" s="115">
        <f t="shared" si="2"/>
        <v>0.21462524168943545</v>
      </c>
      <c r="P8" s="115">
        <f t="shared" si="2"/>
        <v>3.0724321720743263E-2</v>
      </c>
      <c r="Q8" s="115">
        <f t="shared" si="2"/>
        <v>7.6136336658770273E-2</v>
      </c>
      <c r="R8" s="115">
        <f t="shared" si="2"/>
        <v>0.11333976788450086</v>
      </c>
      <c r="S8" s="115">
        <f t="shared" si="2"/>
        <v>0.24384484186313482</v>
      </c>
      <c r="T8" s="115">
        <f t="shared" si="2"/>
        <v>0.37247659857024512</v>
      </c>
      <c r="U8" s="115">
        <f t="shared" si="2"/>
        <v>0.17050014751669759</v>
      </c>
      <c r="V8" s="115">
        <f t="shared" si="2"/>
        <v>0.23557880149264968</v>
      </c>
      <c r="W8" s="115">
        <f t="shared" si="2"/>
        <v>0.35777965549559793</v>
      </c>
      <c r="X8" s="115">
        <f t="shared" si="2"/>
        <v>0.39623947299769496</v>
      </c>
      <c r="Y8" s="115">
        <f t="shared" si="2"/>
        <v>0.25387184595354462</v>
      </c>
      <c r="Z8" s="115">
        <f t="shared" si="2"/>
        <v>0.29242502331394188</v>
      </c>
      <c r="AA8" s="115">
        <f t="shared" si="2"/>
        <v>0.32231247949596664</v>
      </c>
      <c r="AB8" s="115">
        <f t="shared" ref="AB8:AF8" si="3">IFERROR(AB7/AB20,0)</f>
        <v>0.17182332135653205</v>
      </c>
      <c r="AC8" s="115">
        <f t="shared" si="3"/>
        <v>0.24871968143635292</v>
      </c>
      <c r="AD8" s="115">
        <f t="shared" ref="AD8" si="4">IFERROR(AD7/AD20,0)</f>
        <v>0.23792976524538906</v>
      </c>
      <c r="AE8" s="115">
        <f t="shared" ref="AE8" si="5">IFERROR(AE7/AE20,0)</f>
        <v>0.24200117214555947</v>
      </c>
      <c r="AF8" s="115">
        <f t="shared" si="3"/>
        <v>0.22780226408900156</v>
      </c>
      <c r="AG8" s="115">
        <f t="shared" ref="AG8:AJ8" si="6">IFERROR(AG7/AG20,0)</f>
        <v>0.16316747636916795</v>
      </c>
      <c r="AH8" s="115">
        <f t="shared" si="6"/>
        <v>0.1588607963713291</v>
      </c>
      <c r="AI8" s="115">
        <f t="shared" si="6"/>
        <v>0.21830351929507968</v>
      </c>
      <c r="AJ8" s="115">
        <f t="shared" si="6"/>
        <v>0.23119945435057962</v>
      </c>
      <c r="AK8" s="115">
        <f>IFERROR(AK7/AK20,0)</f>
        <v>0.19280452141573939</v>
      </c>
      <c r="AL8" s="115">
        <f t="shared" ref="AL8:AO8" si="7">IFERROR(AL7/AL20,0)</f>
        <v>0.20977876235016374</v>
      </c>
      <c r="AM8" s="115">
        <f t="shared" si="7"/>
        <v>0</v>
      </c>
      <c r="AN8" s="115">
        <f t="shared" si="7"/>
        <v>0</v>
      </c>
      <c r="AO8" s="115">
        <f t="shared" si="7"/>
        <v>0</v>
      </c>
      <c r="AP8" s="115">
        <f>IFERROR(AP7/AP20,0)</f>
        <v>0.20977876235016374</v>
      </c>
    </row>
    <row r="9" spans="1:42" s="102" customFormat="1">
      <c r="A9" s="130" t="s">
        <v>62</v>
      </c>
      <c r="B9" s="130" t="s">
        <v>4</v>
      </c>
      <c r="C9" s="116">
        <v>10139.09052</v>
      </c>
      <c r="D9" s="116">
        <v>1864</v>
      </c>
      <c r="E9" s="116">
        <v>9885.1736500000006</v>
      </c>
      <c r="F9" s="116">
        <v>76657.178895000005</v>
      </c>
      <c r="G9" s="116">
        <v>865993.96561088297</v>
      </c>
      <c r="H9" s="116">
        <v>14973.409919999935</v>
      </c>
      <c r="I9" s="116">
        <v>6574.5683700001709</v>
      </c>
      <c r="J9" s="116">
        <v>-1968.5290000000323</v>
      </c>
      <c r="K9" s="116">
        <v>114070.59647999986</v>
      </c>
      <c r="L9" s="116">
        <f>SUM(H9:K9)</f>
        <v>133650.04576999994</v>
      </c>
      <c r="M9" s="116">
        <v>-9038.6217199999155</v>
      </c>
      <c r="N9" s="116">
        <v>-10760.209479999963</v>
      </c>
      <c r="O9" s="116">
        <v>8527.1882769899312</v>
      </c>
      <c r="P9" s="116">
        <v>129995.62488704802</v>
      </c>
      <c r="Q9" s="116">
        <f>SUM(M9:P9)</f>
        <v>118723.98196403807</v>
      </c>
      <c r="R9" s="116">
        <f>R10-R7</f>
        <v>-8830.1945951111848</v>
      </c>
      <c r="S9" s="116">
        <f t="shared" ref="S9:U9" si="8">S10-S7</f>
        <v>-3761.9928377797914</v>
      </c>
      <c r="T9" s="116">
        <f t="shared" si="8"/>
        <v>-4980.7876970922225</v>
      </c>
      <c r="U9" s="116">
        <f t="shared" si="8"/>
        <v>137850.44756580846</v>
      </c>
      <c r="V9" s="116">
        <f>SUM(R9:U9)</f>
        <v>120277.47243582526</v>
      </c>
      <c r="W9" s="116">
        <f t="shared" ref="W9" si="9">W10-W7</f>
        <v>-5157.3698782431893</v>
      </c>
      <c r="X9" s="116">
        <f t="shared" ref="X9" si="10">X10-X7</f>
        <v>-60769.258941280335</v>
      </c>
      <c r="Y9" s="116">
        <f t="shared" ref="Y9:AC9" si="11">Y10-Y7</f>
        <v>17622.713735836995</v>
      </c>
      <c r="Z9" s="116">
        <f t="shared" si="11"/>
        <v>-39628.455836218782</v>
      </c>
      <c r="AA9" s="116">
        <f t="shared" si="11"/>
        <v>-87932.37091990537</v>
      </c>
      <c r="AB9" s="116">
        <f t="shared" si="11"/>
        <v>1706.1878199999919</v>
      </c>
      <c r="AC9" s="116">
        <f t="shared" si="11"/>
        <v>2493.8121800000081</v>
      </c>
      <c r="AD9" s="116">
        <f t="shared" ref="AD9" si="12">AD10-AD7</f>
        <v>-3785.7956400000257</v>
      </c>
      <c r="AE9" s="116">
        <f t="shared" ref="AE9" si="13">AE10-AE7</f>
        <v>29974.266299999988</v>
      </c>
      <c r="AF9" s="116">
        <f t="shared" ref="AF9:AJ9" si="14">AF10-AF7</f>
        <v>30388.470659999875</v>
      </c>
      <c r="AG9" s="116">
        <f t="shared" si="14"/>
        <v>6061.6801808567834</v>
      </c>
      <c r="AH9" s="116">
        <f t="shared" si="14"/>
        <v>36634.051567226648</v>
      </c>
      <c r="AI9" s="116">
        <f t="shared" si="14"/>
        <v>607.54087999998592</v>
      </c>
      <c r="AJ9" s="116">
        <f t="shared" si="14"/>
        <v>4245.2429837172676</v>
      </c>
      <c r="AK9" s="116">
        <f>AK10-AK7</f>
        <v>47548.515611800598</v>
      </c>
      <c r="AL9" s="116">
        <f>AL10-AL7</f>
        <v>4631.2375199999951</v>
      </c>
      <c r="AM9" s="116">
        <f t="shared" ref="AM9:AO9" si="15">AM10-AM7</f>
        <v>0</v>
      </c>
      <c r="AN9" s="116">
        <f t="shared" si="15"/>
        <v>0</v>
      </c>
      <c r="AO9" s="116">
        <f t="shared" si="15"/>
        <v>0</v>
      </c>
      <c r="AP9" s="116">
        <f>AP10-AP7</f>
        <v>4631.2375199999951</v>
      </c>
    </row>
    <row r="10" spans="1:42" s="102" customFormat="1">
      <c r="A10" s="132" t="s">
        <v>63</v>
      </c>
      <c r="B10" s="133" t="s">
        <v>4</v>
      </c>
      <c r="C10" s="117">
        <f t="shared" ref="C10:F10" si="16">C7+C9</f>
        <v>1065968.3769124825</v>
      </c>
      <c r="D10" s="117">
        <f t="shared" si="16"/>
        <v>959794.21508588281</v>
      </c>
      <c r="E10" s="117">
        <f t="shared" si="16"/>
        <v>569339.44183206221</v>
      </c>
      <c r="F10" s="117">
        <f t="shared" si="16"/>
        <v>255024.74431339861</v>
      </c>
      <c r="G10" s="117">
        <f t="shared" ref="G10:V10" si="17">G7+G9</f>
        <v>55745.419739469886</v>
      </c>
      <c r="H10" s="117">
        <f t="shared" ref="H10:K10" si="18">H7+H9</f>
        <v>8694.7238539997506</v>
      </c>
      <c r="I10" s="117">
        <f t="shared" si="18"/>
        <v>-18623.229504692143</v>
      </c>
      <c r="J10" s="117">
        <f t="shared" si="18"/>
        <v>66942.079494292935</v>
      </c>
      <c r="K10" s="117">
        <f t="shared" si="18"/>
        <v>-5719.6672141186282</v>
      </c>
      <c r="L10" s="117">
        <f t="shared" si="17"/>
        <v>51293.906629481833</v>
      </c>
      <c r="M10" s="117">
        <f t="shared" si="17"/>
        <v>-4258.6564051999085</v>
      </c>
      <c r="N10" s="117">
        <f t="shared" si="17"/>
        <v>1354.1172961660759</v>
      </c>
      <c r="O10" s="117">
        <f t="shared" si="17"/>
        <v>120394.63909852464</v>
      </c>
      <c r="P10" s="117">
        <f t="shared" si="17"/>
        <v>145405.42616191198</v>
      </c>
      <c r="Q10" s="117">
        <f t="shared" si="17"/>
        <v>262895.52615140309</v>
      </c>
      <c r="R10" s="117">
        <v>42470.775405089029</v>
      </c>
      <c r="S10" s="117">
        <v>123530.17669652031</v>
      </c>
      <c r="T10" s="117">
        <v>260473.8309954076</v>
      </c>
      <c r="U10" s="117">
        <v>259806.13408184695</v>
      </c>
      <c r="V10" s="117">
        <f t="shared" si="17"/>
        <v>686280.91717886401</v>
      </c>
      <c r="W10" s="117">
        <v>243158.16889985459</v>
      </c>
      <c r="X10" s="117">
        <v>253874.60057936431</v>
      </c>
      <c r="Y10" s="117">
        <v>238681</v>
      </c>
      <c r="Z10" s="117">
        <f>928214.77-SUM(W10:Y10)</f>
        <v>192501.00052078115</v>
      </c>
      <c r="AA10" s="117">
        <f>SUM(W10:Z10)</f>
        <v>928214.77</v>
      </c>
      <c r="AB10" s="117">
        <v>136466.18781999993</v>
      </c>
      <c r="AC10" s="117">
        <v>239155.81217999998</v>
      </c>
      <c r="AD10" s="117">
        <v>247021.20435999997</v>
      </c>
      <c r="AE10" s="117">
        <v>257080.26630000028</v>
      </c>
      <c r="AF10" s="117">
        <f>SUM(AB10:AE10)</f>
        <v>879723.47066000011</v>
      </c>
      <c r="AG10" s="117">
        <v>145073.68018085675</v>
      </c>
      <c r="AH10" s="117">
        <v>178409.05156722656</v>
      </c>
      <c r="AI10" s="117">
        <v>206238.54088000031</v>
      </c>
      <c r="AJ10" s="117">
        <v>194069.24298371715</v>
      </c>
      <c r="AK10" s="117">
        <f>SUM(AG10:AJ10)</f>
        <v>723790.51561180071</v>
      </c>
      <c r="AL10" s="117">
        <v>163152.23752000002</v>
      </c>
      <c r="AM10" s="117"/>
      <c r="AN10" s="117"/>
      <c r="AO10" s="117"/>
      <c r="AP10" s="117">
        <f>SUM(AL10:AO10)</f>
        <v>163152.23752000002</v>
      </c>
    </row>
    <row r="11" spans="1:42" s="102" customFormat="1">
      <c r="A11" s="134" t="s">
        <v>64</v>
      </c>
      <c r="B11" s="132" t="s">
        <v>5</v>
      </c>
      <c r="C11" s="118">
        <f t="shared" ref="C11:AA11" si="19">IFERROR(C10/C20,0)</f>
        <v>0.3127811819918524</v>
      </c>
      <c r="D11" s="118">
        <f t="shared" si="19"/>
        <v>0.26318305878784742</v>
      </c>
      <c r="E11" s="118">
        <f t="shared" si="19"/>
        <v>0.19064888884751829</v>
      </c>
      <c r="F11" s="118">
        <f t="shared" si="19"/>
        <v>0.12693248449115405</v>
      </c>
      <c r="G11" s="118">
        <f t="shared" si="19"/>
        <v>3.3840100202453351E-2</v>
      </c>
      <c r="H11" s="118">
        <f t="shared" si="19"/>
        <v>2.1797138283272753E-2</v>
      </c>
      <c r="I11" s="118">
        <f t="shared" si="19"/>
        <v>-4.2271776355742779E-2</v>
      </c>
      <c r="J11" s="118">
        <f t="shared" si="19"/>
        <v>0.13147300973212531</v>
      </c>
      <c r="K11" s="118">
        <f t="shared" si="19"/>
        <v>-1.2489452485422556E-2</v>
      </c>
      <c r="L11" s="118">
        <f t="shared" si="19"/>
        <v>2.8392793601182111E-2</v>
      </c>
      <c r="M11" s="118">
        <f t="shared" si="19"/>
        <v>-1.0064399417499429E-2</v>
      </c>
      <c r="N11" s="118">
        <f t="shared" si="19"/>
        <v>3.0247193991875358E-3</v>
      </c>
      <c r="O11" s="118">
        <f t="shared" si="19"/>
        <v>0.23098522693483065</v>
      </c>
      <c r="P11" s="118">
        <f t="shared" si="19"/>
        <v>0.28991179144065909</v>
      </c>
      <c r="Q11" s="118">
        <f t="shared" si="19"/>
        <v>0.13883393146663636</v>
      </c>
      <c r="R11" s="118">
        <f t="shared" si="19"/>
        <v>9.3831126902059983E-2</v>
      </c>
      <c r="S11" s="118">
        <f t="shared" si="19"/>
        <v>0.23663825129299396</v>
      </c>
      <c r="T11" s="118">
        <f t="shared" si="19"/>
        <v>0.36548773219168529</v>
      </c>
      <c r="U11" s="118">
        <f t="shared" si="19"/>
        <v>0.36322196571680393</v>
      </c>
      <c r="V11" s="118">
        <f t="shared" si="19"/>
        <v>0.28564002120105747</v>
      </c>
      <c r="W11" s="118">
        <f t="shared" si="19"/>
        <v>0.35034877933141978</v>
      </c>
      <c r="X11" s="118">
        <f t="shared" si="19"/>
        <v>0.31971111114109413</v>
      </c>
      <c r="Y11" s="118">
        <f t="shared" si="19"/>
        <v>0.27411044882356567</v>
      </c>
      <c r="Z11" s="118">
        <f t="shared" si="19"/>
        <v>0.24250308620321318</v>
      </c>
      <c r="AA11" s="118">
        <f t="shared" si="19"/>
        <v>0.29442114431640165</v>
      </c>
      <c r="AB11" s="118">
        <f t="shared" ref="AB11:AF11" si="20">IFERROR(AB10/AB20,0)</f>
        <v>0.17399876553945323</v>
      </c>
      <c r="AC11" s="118">
        <f t="shared" si="20"/>
        <v>0.25134055073929001</v>
      </c>
      <c r="AD11" s="118">
        <f t="shared" ref="AD11" si="21">IFERROR(AD10/AD20,0)</f>
        <v>0.23433834448005067</v>
      </c>
      <c r="AE11" s="118">
        <f t="shared" ref="AE11" si="22">IFERROR(AE10/AE20,0)</f>
        <v>0.2739413568117644</v>
      </c>
      <c r="AF11" s="118">
        <f t="shared" si="20"/>
        <v>0.23595283179026214</v>
      </c>
      <c r="AG11" s="118">
        <f t="shared" ref="AG11:AJ11" si="23">IFERROR(AG10/AG20,0)</f>
        <v>0.17028246685680504</v>
      </c>
      <c r="AH11" s="118">
        <f t="shared" si="23"/>
        <v>0.19990974439656603</v>
      </c>
      <c r="AI11" s="118">
        <f t="shared" si="23"/>
        <v>0.21894850138542418</v>
      </c>
      <c r="AJ11" s="118">
        <f t="shared" si="23"/>
        <v>0.23637002214717573</v>
      </c>
      <c r="AK11" s="118">
        <f>IFERROR(AK10/AK20,0)</f>
        <v>0.20636116060195089</v>
      </c>
      <c r="AL11" s="118">
        <f t="shared" ref="AL11:AO11" si="24">IFERROR(AL10/AL20,0)</f>
        <v>0.21590751043461462</v>
      </c>
      <c r="AM11" s="118">
        <f t="shared" si="24"/>
        <v>0</v>
      </c>
      <c r="AN11" s="118">
        <f t="shared" si="24"/>
        <v>0</v>
      </c>
      <c r="AO11" s="118">
        <f t="shared" si="24"/>
        <v>0</v>
      </c>
      <c r="AP11" s="118">
        <f>IFERROR(AP10/AP20,0)</f>
        <v>0.21590751043461462</v>
      </c>
    </row>
    <row r="12" spans="1:42" s="102" customFormat="1">
      <c r="A12" s="135" t="s">
        <v>65</v>
      </c>
      <c r="B12" s="130" t="s">
        <v>4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>
        <v>0</v>
      </c>
      <c r="N12" s="119">
        <v>0</v>
      </c>
      <c r="O12" s="119">
        <v>0</v>
      </c>
      <c r="P12" s="119">
        <v>0</v>
      </c>
      <c r="Q12" s="120">
        <f>Q10-92816</f>
        <v>170079.52615140309</v>
      </c>
      <c r="R12" s="120">
        <f>R10-26149</f>
        <v>16321.775405089029</v>
      </c>
      <c r="S12" s="120">
        <f>S10-(53141-26149)</f>
        <v>96538.176696520313</v>
      </c>
      <c r="T12" s="120">
        <f>T10-(80700-53141)</f>
        <v>232914.8309954076</v>
      </c>
      <c r="U12" s="160">
        <f>V12-SUM(R12:T12)</f>
        <v>232143.13408184703</v>
      </c>
      <c r="V12" s="120">
        <f>V10-108363</f>
        <v>577917.91717886401</v>
      </c>
      <c r="W12" s="120">
        <f>W10-28836</f>
        <v>214322.16889985459</v>
      </c>
      <c r="X12" s="120">
        <f>X10-(57407-28836)</f>
        <v>225303.60057936431</v>
      </c>
      <c r="Y12" s="120">
        <f>Y10-(86004-57407)</f>
        <v>210084</v>
      </c>
      <c r="Z12" s="120">
        <f>Z10-(113394-86004)</f>
        <v>165111.00052078115</v>
      </c>
      <c r="AA12" s="120">
        <f>AA10-(113394)</f>
        <v>814820.77</v>
      </c>
      <c r="AB12" s="120">
        <f>AB10-(26771)</f>
        <v>109695.18781999993</v>
      </c>
      <c r="AC12" s="120">
        <f>AC10-(27496)</f>
        <v>211659.81217999998</v>
      </c>
      <c r="AD12" s="120">
        <f>AD10-(25498)</f>
        <v>221523.20435999997</v>
      </c>
      <c r="AE12" s="120">
        <f>AE10-(24527)</f>
        <v>232553.26630000028</v>
      </c>
      <c r="AF12" s="120">
        <f>AF10-(104742)</f>
        <v>774981.47066000011</v>
      </c>
      <c r="AG12" s="120">
        <f>AG10-(24086)</f>
        <v>120987.68018085675</v>
      </c>
      <c r="AH12" s="120">
        <f>AH10-(21420)</f>
        <v>156989.05156722656</v>
      </c>
      <c r="AI12" s="120">
        <f>AI10-(21553)</f>
        <v>184685.54088000031</v>
      </c>
      <c r="AJ12" s="120">
        <f>AJ10-(21315)</f>
        <v>172754.24298371715</v>
      </c>
      <c r="AK12" s="120">
        <f>AK10-(24086+21420+21553+21315)</f>
        <v>635416.51561180071</v>
      </c>
      <c r="AL12" s="120">
        <f>AL10-'Fluxo Caixa_BP_Alavanc'!Z9</f>
        <v>144981.23752000002</v>
      </c>
      <c r="AM12" s="120">
        <f>AM10</f>
        <v>0</v>
      </c>
      <c r="AN12" s="120">
        <f>AN10</f>
        <v>0</v>
      </c>
      <c r="AO12" s="120">
        <f>AO10</f>
        <v>0</v>
      </c>
      <c r="AP12" s="120">
        <f>AP10-'Fluxo Caixa_BP_Alavanc'!Z9</f>
        <v>144981.23752000002</v>
      </c>
    </row>
    <row r="13" spans="1:42" s="102" customFormat="1">
      <c r="A13" s="136" t="s">
        <v>66</v>
      </c>
      <c r="B13" s="126" t="s">
        <v>5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>
        <f t="shared" ref="M13:Y13" si="25">IFERROR(M12/M20,0)</f>
        <v>0</v>
      </c>
      <c r="N13" s="115">
        <f t="shared" si="25"/>
        <v>0</v>
      </c>
      <c r="O13" s="115">
        <f t="shared" si="25"/>
        <v>0</v>
      </c>
      <c r="P13" s="115">
        <f t="shared" si="25"/>
        <v>0</v>
      </c>
      <c r="Q13" s="115">
        <f t="shared" si="25"/>
        <v>8.9818224080325831E-2</v>
      </c>
      <c r="R13" s="115">
        <f t="shared" si="25"/>
        <v>3.6059868573021639E-2</v>
      </c>
      <c r="S13" s="115">
        <f t="shared" si="25"/>
        <v>0.1849315359808931</v>
      </c>
      <c r="T13" s="115">
        <f t="shared" si="25"/>
        <v>0.32681791122357334</v>
      </c>
      <c r="U13" s="115">
        <f t="shared" si="25"/>
        <v>0.3245477085706715</v>
      </c>
      <c r="V13" s="115">
        <f t="shared" si="25"/>
        <v>0.24053777685387417</v>
      </c>
      <c r="W13" s="115">
        <f t="shared" si="25"/>
        <v>0.30880110093546331</v>
      </c>
      <c r="X13" s="115">
        <f t="shared" si="25"/>
        <v>0.28373088257326362</v>
      </c>
      <c r="Y13" s="115">
        <f t="shared" si="25"/>
        <v>0.24126855313430884</v>
      </c>
      <c r="Z13" s="115">
        <f t="shared" ref="Z13:AC13" si="26">IFERROR(Z12/Z20,0)</f>
        <v>0.20799854070403817</v>
      </c>
      <c r="AA13" s="115">
        <f t="shared" si="26"/>
        <v>0.25845361576844067</v>
      </c>
      <c r="AB13" s="115">
        <f t="shared" si="26"/>
        <v>0.13986488207228404</v>
      </c>
      <c r="AC13" s="115">
        <f t="shared" si="26"/>
        <v>0.22244365829025317</v>
      </c>
      <c r="AD13" s="115">
        <f t="shared" ref="AD13" si="27">IFERROR(AD12/AD20,0)</f>
        <v>0.21014949347418987</v>
      </c>
      <c r="AE13" s="115">
        <f t="shared" ref="AE13" si="28">IFERROR(AE12/AE20,0)</f>
        <v>0.24780570760296264</v>
      </c>
      <c r="AF13" s="115">
        <f t="shared" ref="AF13:AJ13" si="29">IFERROR(AF12/AF20,0)</f>
        <v>0.20785971806574804</v>
      </c>
      <c r="AG13" s="115">
        <f t="shared" si="29"/>
        <v>0.14201115333115413</v>
      </c>
      <c r="AH13" s="115">
        <f t="shared" si="29"/>
        <v>0.17590834599576285</v>
      </c>
      <c r="AI13" s="115">
        <f t="shared" si="29"/>
        <v>0.19606724441849388</v>
      </c>
      <c r="AJ13" s="115">
        <f t="shared" si="29"/>
        <v>0.21040904582446307</v>
      </c>
      <c r="AK13" s="115">
        <f>IFERROR(AK12/AK20,0)</f>
        <v>0.1811646972418009</v>
      </c>
      <c r="AL13" s="115">
        <f t="shared" ref="AL13:AO13" si="30">IFERROR(AL12/AL20,0)</f>
        <v>0.1918609179284809</v>
      </c>
      <c r="AM13" s="115">
        <f t="shared" si="30"/>
        <v>0</v>
      </c>
      <c r="AN13" s="115">
        <f t="shared" si="30"/>
        <v>0</v>
      </c>
      <c r="AO13" s="115">
        <f t="shared" si="30"/>
        <v>0</v>
      </c>
      <c r="AP13" s="115">
        <f>IFERROR(AP12/AP20,0)</f>
        <v>0.1918609179284809</v>
      </c>
    </row>
    <row r="14" spans="1:42">
      <c r="A14" s="126"/>
      <c r="B14" s="126"/>
      <c r="C14" s="126"/>
      <c r="D14" s="126"/>
      <c r="E14" s="126"/>
      <c r="F14" s="126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spans="1:42">
      <c r="A15" s="128" t="s">
        <v>6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</row>
    <row r="16" spans="1:42" s="97" customFormat="1">
      <c r="A16" s="135" t="s">
        <v>78</v>
      </c>
      <c r="B16" s="126" t="s">
        <v>4</v>
      </c>
      <c r="C16" s="121">
        <v>3721502.4885900002</v>
      </c>
      <c r="D16" s="121">
        <v>4167061.5140200006</v>
      </c>
      <c r="E16" s="121">
        <v>3457014.1952199996</v>
      </c>
      <c r="F16" s="121">
        <v>2630397.60415</v>
      </c>
      <c r="G16" s="121">
        <v>2191684.57859</v>
      </c>
      <c r="H16" s="121">
        <v>525406.39789000002</v>
      </c>
      <c r="I16" s="121">
        <v>577416.89542999992</v>
      </c>
      <c r="J16" s="121">
        <v>662076.25154000032</v>
      </c>
      <c r="K16" s="121">
        <v>601191.46115999948</v>
      </c>
      <c r="L16" s="121">
        <f>SUM(H16:K16)</f>
        <v>2366091.0060199997</v>
      </c>
      <c r="M16" s="121">
        <v>556798.84057999996</v>
      </c>
      <c r="N16" s="121">
        <v>583148.22106000024</v>
      </c>
      <c r="O16" s="121">
        <v>665083.44982999982</v>
      </c>
      <c r="P16" s="121">
        <v>638153.48399999994</v>
      </c>
      <c r="Q16" s="121">
        <f>SUM(M16:P16)</f>
        <v>2443183.99547</v>
      </c>
      <c r="R16" s="121">
        <v>580057.08154000004</v>
      </c>
      <c r="S16" s="121">
        <v>673151.68151000014</v>
      </c>
      <c r="T16" s="121">
        <v>908443.39020999987</v>
      </c>
      <c r="U16" s="121">
        <v>907988</v>
      </c>
      <c r="V16" s="121">
        <f>SUM(R16:U16)</f>
        <v>3069640.1532600001</v>
      </c>
      <c r="W16" s="121">
        <v>885034</v>
      </c>
      <c r="X16" s="121">
        <v>1019108</v>
      </c>
      <c r="Y16" s="116">
        <v>1105432.2687899999</v>
      </c>
      <c r="Z16" s="116">
        <f>4017543-SUM(W16:Y16)</f>
        <v>1007968.7312099999</v>
      </c>
      <c r="AA16" s="121">
        <f>SUM(W16:Z16)</f>
        <v>4017543</v>
      </c>
      <c r="AB16" s="121">
        <v>996524</v>
      </c>
      <c r="AC16" s="121">
        <v>1220921</v>
      </c>
      <c r="AD16" s="116">
        <v>1345634</v>
      </c>
      <c r="AE16" s="116">
        <v>1203197</v>
      </c>
      <c r="AF16" s="121">
        <f>SUM(AB16:AE16)</f>
        <v>4766276</v>
      </c>
      <c r="AG16" s="121">
        <v>1094627</v>
      </c>
      <c r="AH16" s="121">
        <v>1143152</v>
      </c>
      <c r="AI16" s="116">
        <v>1210258</v>
      </c>
      <c r="AJ16" s="116">
        <v>1062094</v>
      </c>
      <c r="AK16" s="121">
        <f>SUM(AG16:AJ16)</f>
        <v>4510131</v>
      </c>
      <c r="AL16" s="121">
        <v>1018726</v>
      </c>
      <c r="AM16" s="121"/>
      <c r="AN16" s="116"/>
      <c r="AO16" s="116"/>
      <c r="AP16" s="121">
        <f>SUM(AL16:AO16)</f>
        <v>1018726</v>
      </c>
    </row>
    <row r="17" spans="1:42" s="97" customFormat="1">
      <c r="A17" s="135" t="s">
        <v>79</v>
      </c>
      <c r="B17" s="126" t="s">
        <v>4</v>
      </c>
      <c r="C17" s="121">
        <v>720084.47230999998</v>
      </c>
      <c r="D17" s="121">
        <v>644236.61199</v>
      </c>
      <c r="E17" s="121">
        <v>522917.08016999997</v>
      </c>
      <c r="F17" s="121">
        <v>168640.07472999999</v>
      </c>
      <c r="G17" s="121">
        <v>115696.69649999999</v>
      </c>
      <c r="H17" s="121">
        <v>23028.150419999998</v>
      </c>
      <c r="I17" s="121">
        <v>27000.332330000005</v>
      </c>
      <c r="J17" s="121">
        <v>30231.227069999986</v>
      </c>
      <c r="K17" s="121">
        <v>27003.170750000019</v>
      </c>
      <c r="L17" s="121">
        <f>SUM(H17:K17)</f>
        <v>107262.88057000001</v>
      </c>
      <c r="M17" s="121">
        <v>27946.048059999997</v>
      </c>
      <c r="N17" s="121">
        <v>34566.857230000009</v>
      </c>
      <c r="O17" s="121">
        <v>38378.978269999992</v>
      </c>
      <c r="P17" s="121">
        <v>35973.116439999998</v>
      </c>
      <c r="Q17" s="121">
        <f>SUM(M17:P17)</f>
        <v>136865</v>
      </c>
      <c r="R17" s="121">
        <v>33400.80863</v>
      </c>
      <c r="S17" s="121">
        <v>36460.385930000004</v>
      </c>
      <c r="T17" s="121">
        <v>39477.444220000005</v>
      </c>
      <c r="U17" s="121">
        <v>39632</v>
      </c>
      <c r="V17" s="121">
        <f>SUM(R17:U17)</f>
        <v>148970.63878000001</v>
      </c>
      <c r="W17" s="121">
        <v>38725</v>
      </c>
      <c r="X17" s="121">
        <v>40328</v>
      </c>
      <c r="Y17" s="116">
        <v>47871.540689999994</v>
      </c>
      <c r="Z17" s="116">
        <f>168313-SUM(W17:Y17)</f>
        <v>41388.459310000006</v>
      </c>
      <c r="AA17" s="121">
        <f t="shared" ref="AA17:AA40" si="31">SUM(W17:Z17)</f>
        <v>168313</v>
      </c>
      <c r="AB17" s="121">
        <v>41529</v>
      </c>
      <c r="AC17" s="121">
        <v>44133</v>
      </c>
      <c r="AD17" s="116">
        <v>48530</v>
      </c>
      <c r="AE17" s="116">
        <v>39064</v>
      </c>
      <c r="AF17" s="121">
        <f t="shared" ref="AF17:AF40" si="32">SUM(AB17:AE17)</f>
        <v>173256</v>
      </c>
      <c r="AG17" s="121">
        <v>44502</v>
      </c>
      <c r="AH17" s="121">
        <v>48009</v>
      </c>
      <c r="AI17" s="116">
        <v>43778</v>
      </c>
      <c r="AJ17" s="116">
        <v>35658</v>
      </c>
      <c r="AK17" s="121">
        <f>SUM(AG17:AJ17)</f>
        <v>171947</v>
      </c>
      <c r="AL17" s="121">
        <v>4031</v>
      </c>
      <c r="AM17" s="121"/>
      <c r="AN17" s="116"/>
      <c r="AO17" s="116"/>
      <c r="AP17" s="121">
        <f>SUM(AL17:AO17)</f>
        <v>4031</v>
      </c>
    </row>
    <row r="18" spans="1:42" s="97" customFormat="1">
      <c r="A18" s="138" t="s">
        <v>80</v>
      </c>
      <c r="B18" s="126" t="s">
        <v>4</v>
      </c>
      <c r="C18" s="121">
        <v>-1016915.8405602069</v>
      </c>
      <c r="D18" s="121">
        <v>-1130464.9257920999</v>
      </c>
      <c r="E18" s="121">
        <v>-967229.79462532606</v>
      </c>
      <c r="F18" s="121">
        <v>-768020.53780190006</v>
      </c>
      <c r="G18" s="121">
        <v>-646428.48979439994</v>
      </c>
      <c r="H18" s="121">
        <v>-145860.6526644</v>
      </c>
      <c r="I18" s="121">
        <v>-160056.52034450002</v>
      </c>
      <c r="J18" s="121">
        <v>-179549.8773409999</v>
      </c>
      <c r="K18" s="121">
        <v>-166584.94965369999</v>
      </c>
      <c r="L18" s="121">
        <f>SUM(H18:K18)</f>
        <v>-652052.00000359991</v>
      </c>
      <c r="M18" s="121">
        <v>-157395.98391010001</v>
      </c>
      <c r="N18" s="121">
        <v>-166927.10350299999</v>
      </c>
      <c r="O18" s="121">
        <v>-179200.94123280002</v>
      </c>
      <c r="P18" s="121">
        <v>-169883.97135409998</v>
      </c>
      <c r="Q18" s="121">
        <f>SUM(M18:P18)</f>
        <v>-673408</v>
      </c>
      <c r="R18" s="121">
        <v>-157465.89926919999</v>
      </c>
      <c r="S18" s="121">
        <v>-184343.67944570002</v>
      </c>
      <c r="T18" s="121">
        <v>-230287.85661690001</v>
      </c>
      <c r="U18" s="121">
        <v>-226713</v>
      </c>
      <c r="V18" s="121">
        <f>SUM(R18:U18)</f>
        <v>-798810.43533180002</v>
      </c>
      <c r="W18" s="121">
        <v>-225174</v>
      </c>
      <c r="X18" s="121">
        <v>-255914</v>
      </c>
      <c r="Y18" s="116">
        <v>-272793.65566699993</v>
      </c>
      <c r="Z18" s="116">
        <f>-999366-SUM(W18:Y18)</f>
        <v>-245484.34433300002</v>
      </c>
      <c r="AA18" s="121">
        <f t="shared" si="31"/>
        <v>-999366</v>
      </c>
      <c r="AB18" s="121">
        <v>-243220</v>
      </c>
      <c r="AC18" s="121">
        <v>-297725</v>
      </c>
      <c r="AD18" s="116">
        <v>-325242</v>
      </c>
      <c r="AE18" s="116">
        <v>-294592</v>
      </c>
      <c r="AF18" s="121">
        <f t="shared" si="32"/>
        <v>-1160779</v>
      </c>
      <c r="AG18" s="121">
        <v>-272848</v>
      </c>
      <c r="AH18" s="121">
        <v>-288769</v>
      </c>
      <c r="AI18" s="116">
        <v>-302722</v>
      </c>
      <c r="AJ18" s="116">
        <v>-265834</v>
      </c>
      <c r="AK18" s="121">
        <f>SUM(AG18:AJ18)</f>
        <v>-1130173</v>
      </c>
      <c r="AL18" s="121">
        <v>-257538</v>
      </c>
      <c r="AM18" s="121"/>
      <c r="AN18" s="116"/>
      <c r="AO18" s="116"/>
      <c r="AP18" s="121">
        <f>SUM(AL18:AO18)</f>
        <v>-257538</v>
      </c>
    </row>
    <row r="19" spans="1:42" s="97" customFormat="1">
      <c r="A19" s="138" t="s">
        <v>81</v>
      </c>
      <c r="B19" s="126" t="s">
        <v>4</v>
      </c>
      <c r="C19" s="121">
        <v>-16638.801629999998</v>
      </c>
      <c r="D19" s="121">
        <v>-33963.908909999998</v>
      </c>
      <c r="E19" s="121">
        <v>-26377.011350000001</v>
      </c>
      <c r="F19" s="121">
        <v>-21880.194490000002</v>
      </c>
      <c r="G19" s="121">
        <v>-13634.384759999994</v>
      </c>
      <c r="H19" s="121">
        <v>-3680.9886499999998</v>
      </c>
      <c r="I19" s="121">
        <v>-3801.2819500000001</v>
      </c>
      <c r="J19" s="121">
        <v>-3587.8512900000005</v>
      </c>
      <c r="K19" s="121">
        <v>-3649.8781099999997</v>
      </c>
      <c r="L19" s="121">
        <f>SUM(H19:K19)</f>
        <v>-14720</v>
      </c>
      <c r="M19" s="121">
        <v>-4208.2652799999996</v>
      </c>
      <c r="N19" s="121">
        <v>-3104.3660100000006</v>
      </c>
      <c r="O19" s="121">
        <v>-3039.2394699999995</v>
      </c>
      <c r="P19" s="121">
        <v>-2692.0524800000003</v>
      </c>
      <c r="Q19" s="121">
        <f>SUM(M19:P19)</f>
        <v>-13043.92324</v>
      </c>
      <c r="R19" s="121">
        <v>-3362.0715200000004</v>
      </c>
      <c r="S19" s="121">
        <v>-3247.2184599999991</v>
      </c>
      <c r="T19" s="121">
        <v>-4958.3568800000012</v>
      </c>
      <c r="U19" s="121">
        <v>-5625</v>
      </c>
      <c r="V19" s="121">
        <f>SUM(R19:U19)</f>
        <v>-17192.646860000001</v>
      </c>
      <c r="W19" s="121">
        <v>-4539</v>
      </c>
      <c r="X19" s="121">
        <v>-9447</v>
      </c>
      <c r="Y19" s="116">
        <v>-9762.6101699999999</v>
      </c>
      <c r="Z19" s="116">
        <f>-33813-SUM(W19:Y19)</f>
        <v>-10064.38983</v>
      </c>
      <c r="AA19" s="121">
        <f t="shared" si="31"/>
        <v>-33813</v>
      </c>
      <c r="AB19" s="121">
        <v>-10539</v>
      </c>
      <c r="AC19" s="121">
        <v>-15808</v>
      </c>
      <c r="AD19" s="116">
        <v>-14800</v>
      </c>
      <c r="AE19" s="116">
        <v>-9219</v>
      </c>
      <c r="AF19" s="121">
        <f t="shared" si="32"/>
        <v>-50366</v>
      </c>
      <c r="AG19" s="121">
        <v>-14322</v>
      </c>
      <c r="AH19" s="121">
        <v>-9944</v>
      </c>
      <c r="AI19" s="116">
        <v>-9364</v>
      </c>
      <c r="AJ19" s="116">
        <v>-10878</v>
      </c>
      <c r="AK19" s="121">
        <f>SUM(AG19:AJ19)</f>
        <v>-44508</v>
      </c>
      <c r="AL19" s="121">
        <v>-9561</v>
      </c>
      <c r="AM19" s="121"/>
      <c r="AN19" s="116"/>
      <c r="AO19" s="116"/>
      <c r="AP19" s="121">
        <f>SUM(AL19:AO19)</f>
        <v>-9561</v>
      </c>
    </row>
    <row r="20" spans="1:42">
      <c r="A20" s="139" t="s">
        <v>2</v>
      </c>
      <c r="B20" s="132" t="s">
        <v>4</v>
      </c>
      <c r="C20" s="122">
        <f t="shared" ref="C20:F20" si="33">SUM(C16:C19)</f>
        <v>3408032.318709793</v>
      </c>
      <c r="D20" s="122">
        <f t="shared" si="33"/>
        <v>3646869.291307901</v>
      </c>
      <c r="E20" s="122">
        <f t="shared" si="33"/>
        <v>2986324.4694146737</v>
      </c>
      <c r="F20" s="122">
        <f t="shared" si="33"/>
        <v>2009136.9465881002</v>
      </c>
      <c r="G20" s="122">
        <f t="shared" ref="G20:V20" si="34">SUM(G16:G19)</f>
        <v>1647318.4005356</v>
      </c>
      <c r="H20" s="122">
        <f t="shared" ref="H20:K20" si="35">SUM(H16:H19)</f>
        <v>398892.90699559997</v>
      </c>
      <c r="I20" s="122">
        <f t="shared" si="35"/>
        <v>440559.42546549992</v>
      </c>
      <c r="J20" s="122">
        <f t="shared" si="35"/>
        <v>509169.74997900042</v>
      </c>
      <c r="K20" s="122">
        <f t="shared" si="35"/>
        <v>457959.80414629955</v>
      </c>
      <c r="L20" s="122">
        <f t="shared" si="34"/>
        <v>1806581.8865863997</v>
      </c>
      <c r="M20" s="122">
        <f t="shared" si="34"/>
        <v>423140.6394498999</v>
      </c>
      <c r="N20" s="122">
        <f t="shared" si="34"/>
        <v>447683.60877700022</v>
      </c>
      <c r="O20" s="122">
        <f t="shared" si="34"/>
        <v>521222.2473971998</v>
      </c>
      <c r="P20" s="122">
        <f t="shared" si="34"/>
        <v>501550.57660589996</v>
      </c>
      <c r="Q20" s="122">
        <f t="shared" si="34"/>
        <v>1893597.07223</v>
      </c>
      <c r="R20" s="122">
        <f t="shared" ref="R20:U20" si="36">SUM(R16:R19)</f>
        <v>452629.91938080004</v>
      </c>
      <c r="S20" s="122">
        <f t="shared" si="36"/>
        <v>522021.1695343001</v>
      </c>
      <c r="T20" s="122">
        <f t="shared" si="36"/>
        <v>712674.62093309977</v>
      </c>
      <c r="U20" s="122">
        <f t="shared" si="36"/>
        <v>715282</v>
      </c>
      <c r="V20" s="122">
        <f t="shared" si="34"/>
        <v>2402607.7098482</v>
      </c>
      <c r="W20" s="122">
        <f t="shared" ref="W20:Z20" si="37">SUM(W16:W19)</f>
        <v>694046</v>
      </c>
      <c r="X20" s="122">
        <f t="shared" si="37"/>
        <v>794075</v>
      </c>
      <c r="Y20" s="123">
        <f t="shared" si="37"/>
        <v>870747.54364299984</v>
      </c>
      <c r="Z20" s="123">
        <f t="shared" si="37"/>
        <v>793808.45635699993</v>
      </c>
      <c r="AA20" s="122">
        <f t="shared" si="31"/>
        <v>3152676.9999999995</v>
      </c>
      <c r="AB20" s="122">
        <f t="shared" ref="AB20:AE20" si="38">SUM(AB16:AB19)</f>
        <v>784294</v>
      </c>
      <c r="AC20" s="122">
        <f t="shared" si="38"/>
        <v>951521</v>
      </c>
      <c r="AD20" s="123">
        <f t="shared" si="38"/>
        <v>1054122</v>
      </c>
      <c r="AE20" s="123">
        <f t="shared" si="38"/>
        <v>938450</v>
      </c>
      <c r="AF20" s="122">
        <f t="shared" si="32"/>
        <v>3728387</v>
      </c>
      <c r="AG20" s="122">
        <f t="shared" ref="AG20:AJ20" si="39">SUM(AG16:AG19)</f>
        <v>851959</v>
      </c>
      <c r="AH20" s="122">
        <f t="shared" si="39"/>
        <v>892448</v>
      </c>
      <c r="AI20" s="123">
        <f t="shared" si="39"/>
        <v>941950</v>
      </c>
      <c r="AJ20" s="123">
        <f t="shared" si="39"/>
        <v>821040</v>
      </c>
      <c r="AK20" s="122">
        <f t="shared" ref="AK20:AK40" si="40">SUM(AG20:AJ20)</f>
        <v>3507397</v>
      </c>
      <c r="AL20" s="122">
        <f t="shared" ref="AL20:AO20" si="41">SUM(AL16:AL19)</f>
        <v>755658</v>
      </c>
      <c r="AM20" s="122">
        <f t="shared" si="41"/>
        <v>0</v>
      </c>
      <c r="AN20" s="123">
        <f t="shared" si="41"/>
        <v>0</v>
      </c>
      <c r="AO20" s="123">
        <f t="shared" si="41"/>
        <v>0</v>
      </c>
      <c r="AP20" s="122">
        <f t="shared" ref="AP20" si="42">SUM(AL20:AO20)</f>
        <v>755658</v>
      </c>
    </row>
    <row r="21" spans="1:42">
      <c r="A21" s="138" t="s">
        <v>84</v>
      </c>
      <c r="B21" s="126" t="s">
        <v>4</v>
      </c>
      <c r="C21" s="121">
        <v>-1198677.2606693117</v>
      </c>
      <c r="D21" s="121">
        <v>-1394773.2472151215</v>
      </c>
      <c r="E21" s="121">
        <v>-1410274.8225957293</v>
      </c>
      <c r="F21" s="121">
        <v>-877801.02343760012</v>
      </c>
      <c r="G21" s="121">
        <v>-778792.70607189997</v>
      </c>
      <c r="H21" s="121">
        <v>-204373.73255219997</v>
      </c>
      <c r="I21" s="121">
        <v>-234448.76031095206</v>
      </c>
      <c r="J21" s="121">
        <v>-285458.67193474801</v>
      </c>
      <c r="K21" s="121">
        <v>-220701.63269868353</v>
      </c>
      <c r="L21" s="121">
        <f>SUM(H21:K21)</f>
        <v>-944982.79749658355</v>
      </c>
      <c r="M21" s="121">
        <v>-216508.34323900001</v>
      </c>
      <c r="N21" s="121">
        <v>-250563.16499303392</v>
      </c>
      <c r="O21" s="121">
        <v>-272970.78236486588</v>
      </c>
      <c r="P21" s="121">
        <v>-173254.23438854312</v>
      </c>
      <c r="Q21" s="121">
        <f>SUM(M21:P21)</f>
        <v>-913296.52498544287</v>
      </c>
      <c r="R21" s="121">
        <v>-231128</v>
      </c>
      <c r="S21" s="121">
        <v>-235373</v>
      </c>
      <c r="T21" s="116">
        <v>-257664</v>
      </c>
      <c r="U21" s="121">
        <v>-287706.31348396151</v>
      </c>
      <c r="V21" s="121">
        <f>SUM(R21:U21)</f>
        <v>-1011871.3134839615</v>
      </c>
      <c r="W21" s="121">
        <v>-264577.27830980154</v>
      </c>
      <c r="X21" s="116">
        <v>-308967.78365027119</v>
      </c>
      <c r="Y21" s="116">
        <v>-360150.33225044177</v>
      </c>
      <c r="Z21" s="116">
        <v>-325220</v>
      </c>
      <c r="AA21" s="121">
        <f t="shared" si="31"/>
        <v>-1258915.3942105146</v>
      </c>
      <c r="AB21" s="121">
        <v>-350675</v>
      </c>
      <c r="AC21" s="116">
        <v>-402779.10041123291</v>
      </c>
      <c r="AD21" s="116">
        <v>-467422.26807062316</v>
      </c>
      <c r="AE21" s="116">
        <v>-440499.40634848311</v>
      </c>
      <c r="AF21" s="121">
        <f t="shared" si="32"/>
        <v>-1661375.7748303392</v>
      </c>
      <c r="AG21" s="121">
        <v>-391443.35973279318</v>
      </c>
      <c r="AH21" s="116">
        <v>-384941.56686738739</v>
      </c>
      <c r="AI21" s="116">
        <v>-428442.52179673483</v>
      </c>
      <c r="AJ21" s="116">
        <v>-381048.56123982259</v>
      </c>
      <c r="AK21" s="121">
        <f>SUM(AG21:AJ21)</f>
        <v>-1585876.0096367379</v>
      </c>
      <c r="AL21" s="121">
        <v>-315555.64360247971</v>
      </c>
      <c r="AM21" s="116"/>
      <c r="AN21" s="116"/>
      <c r="AO21" s="116"/>
      <c r="AP21" s="121">
        <f>SUM(AL21:AO21)</f>
        <v>-315555.64360247971</v>
      </c>
    </row>
    <row r="22" spans="1:42" ht="12.75" customHeight="1">
      <c r="A22" s="138" t="s">
        <v>85</v>
      </c>
      <c r="B22" s="126" t="s">
        <v>4</v>
      </c>
      <c r="C22" s="121">
        <v>-745048.75153297721</v>
      </c>
      <c r="D22" s="121">
        <v>-806954.31815617927</v>
      </c>
      <c r="E22" s="121">
        <v>-629788.9856754709</v>
      </c>
      <c r="F22" s="121">
        <v>-590087.94371880009</v>
      </c>
      <c r="G22" s="121">
        <v>-546919.26590390003</v>
      </c>
      <c r="H22" s="121">
        <v>-108759.26072750002</v>
      </c>
      <c r="I22" s="121">
        <v>-136235.5437245316</v>
      </c>
      <c r="J22" s="121">
        <v>-114336.35336096841</v>
      </c>
      <c r="K22" s="121">
        <v>-168359.82274990005</v>
      </c>
      <c r="L22" s="121">
        <f>SUM(H22:K22)</f>
        <v>-527690.98056290008</v>
      </c>
      <c r="M22" s="121">
        <v>-119606.0514563</v>
      </c>
      <c r="N22" s="121">
        <v>-111441.01322159999</v>
      </c>
      <c r="O22" s="121">
        <v>-58848.59467190002</v>
      </c>
      <c r="P22" s="121">
        <v>-119129.84759029999</v>
      </c>
      <c r="Q22" s="121">
        <f>SUM(M22:P22)</f>
        <v>-409025.50694009999</v>
      </c>
      <c r="R22" s="121">
        <v>-84914</v>
      </c>
      <c r="S22" s="121">
        <v>-85553</v>
      </c>
      <c r="T22" s="116">
        <v>-102204</v>
      </c>
      <c r="U22" s="121">
        <v>-228560</v>
      </c>
      <c r="V22" s="121">
        <f>SUM(R22:U22)</f>
        <v>-501231</v>
      </c>
      <c r="W22" s="121">
        <v>-95288.488466600116</v>
      </c>
      <c r="X22" s="116">
        <v>-110367.9621745999</v>
      </c>
      <c r="Y22" s="116">
        <v>-124737.00028609994</v>
      </c>
      <c r="Z22" s="116">
        <v>-131453</v>
      </c>
      <c r="AA22" s="121">
        <f t="shared" si="31"/>
        <v>-461846.45092729991</v>
      </c>
      <c r="AB22" s="121">
        <v>-147928</v>
      </c>
      <c r="AC22" s="116">
        <v>-171591.56895462607</v>
      </c>
      <c r="AD22" s="116">
        <v>-125773.76302067387</v>
      </c>
      <c r="AE22" s="116">
        <v>-140879.69243330005</v>
      </c>
      <c r="AF22" s="121">
        <f t="shared" si="32"/>
        <v>-586173.02440860006</v>
      </c>
      <c r="AG22" s="121">
        <v>-160857.89301240002</v>
      </c>
      <c r="AH22" s="116">
        <v>-155615.60637110006</v>
      </c>
      <c r="AI22" s="116">
        <v>-132483.067691</v>
      </c>
      <c r="AJ22" s="116">
        <v>-121365.72719119996</v>
      </c>
      <c r="AK22" s="121">
        <f>SUM(AG22:AJ22)</f>
        <v>-570322.29426570004</v>
      </c>
      <c r="AL22" s="121">
        <v>-149873.53030000001</v>
      </c>
      <c r="AM22" s="116"/>
      <c r="AN22" s="116"/>
      <c r="AO22" s="116"/>
      <c r="AP22" s="121">
        <f>SUM(AL22:AO22)</f>
        <v>-149873.53030000001</v>
      </c>
    </row>
    <row r="23" spans="1:42" ht="12.75" customHeight="1">
      <c r="A23" s="138" t="s">
        <v>86</v>
      </c>
      <c r="B23" s="126" t="s">
        <v>4</v>
      </c>
      <c r="C23" s="121">
        <v>-179683.02665551114</v>
      </c>
      <c r="D23" s="121">
        <v>-221718.87392100276</v>
      </c>
      <c r="E23" s="121">
        <v>-228000.28096534783</v>
      </c>
      <c r="F23" s="121">
        <v>-255164.97552010001</v>
      </c>
      <c r="G23" s="121">
        <v>-235688.97274742476</v>
      </c>
      <c r="H23" s="121">
        <v>-54035.006957699996</v>
      </c>
      <c r="I23" s="121">
        <v>-62844.627098400015</v>
      </c>
      <c r="J23" s="121">
        <v>-57907.323999799992</v>
      </c>
      <c r="K23" s="121">
        <v>-56835.470033699981</v>
      </c>
      <c r="L23" s="121">
        <f>SUM(H23:K23)</f>
        <v>-231622.4280896</v>
      </c>
      <c r="M23" s="121">
        <v>-81025.796326022901</v>
      </c>
      <c r="N23" s="121">
        <v>-62456.262685664871</v>
      </c>
      <c r="O23" s="121">
        <v>-123662.13389986662</v>
      </c>
      <c r="P23" s="121">
        <v>-65659.813306698605</v>
      </c>
      <c r="Q23" s="121">
        <f>SUM(M23:P23)</f>
        <v>-332804.00621825294</v>
      </c>
      <c r="R23" s="121">
        <v>-86335</v>
      </c>
      <c r="S23" s="121">
        <v>-90537</v>
      </c>
      <c r="T23" s="116">
        <v>-99058</v>
      </c>
      <c r="U23" s="121">
        <v>-91843</v>
      </c>
      <c r="V23" s="121">
        <f>SUM(R23:U23)</f>
        <v>-367773</v>
      </c>
      <c r="W23" s="121">
        <v>-92408.396046499998</v>
      </c>
      <c r="X23" s="116">
        <v>-81000.977354100018</v>
      </c>
      <c r="Y23" s="116">
        <v>-85920.07108129999</v>
      </c>
      <c r="Z23" s="116">
        <v>-92611</v>
      </c>
      <c r="AA23" s="121">
        <f t="shared" si="31"/>
        <v>-351940.44448190002</v>
      </c>
      <c r="AB23" s="121">
        <v>-97019</v>
      </c>
      <c r="AC23" s="116">
        <v>-94575.25542874352</v>
      </c>
      <c r="AD23" s="116">
        <v>-89154.074261056521</v>
      </c>
      <c r="AE23" s="116">
        <v>-84408.87760139996</v>
      </c>
      <c r="AF23" s="121">
        <f t="shared" si="32"/>
        <v>-365157.2072912</v>
      </c>
      <c r="AG23" s="121">
        <v>-93566.241321900015</v>
      </c>
      <c r="AH23" s="116">
        <v>-101161.06312449995</v>
      </c>
      <c r="AI23" s="116">
        <v>-96253.999580800009</v>
      </c>
      <c r="AJ23" s="116">
        <v>-78552.053231200058</v>
      </c>
      <c r="AK23" s="121">
        <f>SUM(AG23:AJ23)</f>
        <v>-369533.35725840006</v>
      </c>
      <c r="AL23" s="121">
        <v>-92828.755310799999</v>
      </c>
      <c r="AM23" s="116"/>
      <c r="AN23" s="116"/>
      <c r="AO23" s="116"/>
      <c r="AP23" s="121">
        <f>SUM(AL23:AO23)</f>
        <v>-92828.755310799999</v>
      </c>
    </row>
    <row r="24" spans="1:42" ht="12.75" customHeight="1">
      <c r="A24" s="138" t="s">
        <v>169</v>
      </c>
      <c r="B24" s="126" t="s">
        <v>4</v>
      </c>
      <c r="C24" s="121">
        <v>-346143.53996904159</v>
      </c>
      <c r="D24" s="121">
        <v>-336545.66492280009</v>
      </c>
      <c r="E24" s="121">
        <v>-295736.69482702931</v>
      </c>
      <c r="F24" s="121">
        <v>-225581.41621250001</v>
      </c>
      <c r="G24" s="121">
        <v>-198039.77712330001</v>
      </c>
      <c r="H24" s="121">
        <v>-50698.824448200008</v>
      </c>
      <c r="I24" s="121">
        <v>-62287.761088499996</v>
      </c>
      <c r="J24" s="121">
        <v>-70520.819938999979</v>
      </c>
      <c r="K24" s="121">
        <v>-45367.083002700034</v>
      </c>
      <c r="L24" s="121">
        <f>SUM(H24:K24)</f>
        <v>-228874.48847840002</v>
      </c>
      <c r="M24" s="121">
        <v>-55040.605812700007</v>
      </c>
      <c r="N24" s="121">
        <v>-56928.239907499978</v>
      </c>
      <c r="O24" s="121">
        <v>-53831.767136900053</v>
      </c>
      <c r="P24" s="121">
        <v>-55527.895668699952</v>
      </c>
      <c r="Q24" s="121">
        <f>SUM(M24:P24)</f>
        <v>-221328.50852579999</v>
      </c>
      <c r="R24" s="121">
        <v>-47976</v>
      </c>
      <c r="S24" s="121">
        <v>-51101</v>
      </c>
      <c r="T24" s="116">
        <v>-67141</v>
      </c>
      <c r="U24" s="121">
        <v>-56978</v>
      </c>
      <c r="V24" s="121">
        <f>SUM(R24:U24)</f>
        <v>-223196</v>
      </c>
      <c r="W24" s="121">
        <v>-57777.4117319</v>
      </c>
      <c r="X24" s="116">
        <v>-73661.544925684837</v>
      </c>
      <c r="Y24" s="116">
        <v>-82764.810874395072</v>
      </c>
      <c r="Z24" s="116">
        <v>-81406</v>
      </c>
      <c r="AA24" s="121">
        <f t="shared" si="31"/>
        <v>-295609.76753197995</v>
      </c>
      <c r="AB24" s="121">
        <v>-85327</v>
      </c>
      <c r="AC24" s="116">
        <v>-110745.99510639999</v>
      </c>
      <c r="AD24" s="116">
        <v>-129933.17085190007</v>
      </c>
      <c r="AE24" s="116">
        <v>-100983.05942809989</v>
      </c>
      <c r="AF24" s="121">
        <f t="shared" si="32"/>
        <v>-426989.22538639995</v>
      </c>
      <c r="AG24" s="121">
        <v>-100400.69756200002</v>
      </c>
      <c r="AH24" s="116">
        <v>-100217.25665559998</v>
      </c>
      <c r="AI24" s="116">
        <v>-101842.54789160006</v>
      </c>
      <c r="AJ24" s="116">
        <v>-96328.477835499973</v>
      </c>
      <c r="AK24" s="121">
        <f>SUM(AG24:AJ24)</f>
        <v>-398788.97994470003</v>
      </c>
      <c r="AL24" s="121">
        <v>-89036.753609999985</v>
      </c>
      <c r="AM24" s="116"/>
      <c r="AN24" s="116"/>
      <c r="AO24" s="116"/>
      <c r="AP24" s="121">
        <f>SUM(AL24:AO24)</f>
        <v>-89036.753609999985</v>
      </c>
    </row>
    <row r="25" spans="1:42">
      <c r="A25" s="139" t="s">
        <v>83</v>
      </c>
      <c r="B25" s="132" t="s">
        <v>4</v>
      </c>
      <c r="C25" s="124">
        <f t="shared" ref="C25:F25" si="43">SUM(C21:C24)</f>
        <v>-2469552.5788268414</v>
      </c>
      <c r="D25" s="124">
        <f t="shared" si="43"/>
        <v>-2759992.1042151037</v>
      </c>
      <c r="E25" s="124">
        <f t="shared" si="43"/>
        <v>-2563800.7840635777</v>
      </c>
      <c r="F25" s="124">
        <f t="shared" si="43"/>
        <v>-1948635.3588890003</v>
      </c>
      <c r="G25" s="124">
        <f t="shared" ref="G25:W25" si="44">SUM(G21:G24)</f>
        <v>-1759440.7218465251</v>
      </c>
      <c r="H25" s="124">
        <f t="shared" ref="H25" si="45">SUM(H21:H24)</f>
        <v>-417866.8246856</v>
      </c>
      <c r="I25" s="124">
        <f t="shared" ref="I25" si="46">SUM(I21:I24)</f>
        <v>-495816.69222238363</v>
      </c>
      <c r="J25" s="124">
        <f t="shared" ref="J25" si="47">SUM(J21:J24)</f>
        <v>-528223.16923451633</v>
      </c>
      <c r="K25" s="124">
        <f t="shared" ref="K25" si="48">SUM(K21:K24)</f>
        <v>-491264.00848498358</v>
      </c>
      <c r="L25" s="124">
        <f t="shared" si="44"/>
        <v>-1933170.6946274836</v>
      </c>
      <c r="M25" s="124">
        <f t="shared" ref="M25" si="49">SUM(M21:M24)</f>
        <v>-472180.79683402291</v>
      </c>
      <c r="N25" s="124">
        <f t="shared" ref="N25" si="50">SUM(N21:N24)</f>
        <v>-481388.68080779875</v>
      </c>
      <c r="O25" s="124">
        <f t="shared" ref="O25" si="51">SUM(O21:O24)</f>
        <v>-509313.27807353257</v>
      </c>
      <c r="P25" s="124">
        <f t="shared" ref="P25" si="52">SUM(P21:P24)</f>
        <v>-413571.79095424159</v>
      </c>
      <c r="Q25" s="124">
        <f t="shared" si="44"/>
        <v>-1876454.5466695956</v>
      </c>
      <c r="R25" s="124">
        <f t="shared" si="44"/>
        <v>-450353</v>
      </c>
      <c r="S25" s="124">
        <f t="shared" si="44"/>
        <v>-462564</v>
      </c>
      <c r="T25" s="124">
        <f t="shared" si="44"/>
        <v>-526067</v>
      </c>
      <c r="U25" s="124">
        <f t="shared" si="44"/>
        <v>-665087.31348396151</v>
      </c>
      <c r="V25" s="124">
        <f t="shared" si="44"/>
        <v>-2104071.3134839614</v>
      </c>
      <c r="W25" s="124">
        <f t="shared" si="44"/>
        <v>-510051.57455480169</v>
      </c>
      <c r="X25" s="124">
        <f t="shared" ref="X25:Z25" si="53">SUM(X21:X24)</f>
        <v>-573998.26810465602</v>
      </c>
      <c r="Y25" s="125">
        <f t="shared" si="53"/>
        <v>-653572.21449223685</v>
      </c>
      <c r="Z25" s="125">
        <f t="shared" si="53"/>
        <v>-630690</v>
      </c>
      <c r="AA25" s="124">
        <f t="shared" si="31"/>
        <v>-2368312.0571516943</v>
      </c>
      <c r="AB25" s="124">
        <f t="shared" ref="AB25:AC25" si="54">SUM(AB21:AB24)</f>
        <v>-680949</v>
      </c>
      <c r="AC25" s="124">
        <f t="shared" si="54"/>
        <v>-779691.91990100255</v>
      </c>
      <c r="AD25" s="125">
        <f t="shared" ref="AD25:AE25" si="55">SUM(AD21:AD24)</f>
        <v>-812283.27620425355</v>
      </c>
      <c r="AE25" s="125">
        <f t="shared" si="55"/>
        <v>-766771.03581128304</v>
      </c>
      <c r="AF25" s="124">
        <f t="shared" si="32"/>
        <v>-3039695.2319165394</v>
      </c>
      <c r="AG25" s="124">
        <f t="shared" ref="AG25:AJ25" si="56">SUM(AG21:AG24)</f>
        <v>-746268.19162909326</v>
      </c>
      <c r="AH25" s="124">
        <f t="shared" si="56"/>
        <v>-741935.49301858735</v>
      </c>
      <c r="AI25" s="125">
        <f t="shared" si="56"/>
        <v>-759022.13696013484</v>
      </c>
      <c r="AJ25" s="125">
        <f t="shared" si="56"/>
        <v>-677294.81949772267</v>
      </c>
      <c r="AK25" s="124">
        <f>SUM(AG25:AJ25)</f>
        <v>-2924520.6411055382</v>
      </c>
      <c r="AL25" s="124">
        <f t="shared" ref="AL25:AO25" si="57">SUM(AL21:AL24)</f>
        <v>-647294.68282327976</v>
      </c>
      <c r="AM25" s="124">
        <f t="shared" si="57"/>
        <v>0</v>
      </c>
      <c r="AN25" s="125">
        <f t="shared" si="57"/>
        <v>0</v>
      </c>
      <c r="AO25" s="125">
        <f t="shared" si="57"/>
        <v>0</v>
      </c>
      <c r="AP25" s="124">
        <f>SUM(AL25:AO25)</f>
        <v>-647294.68282327976</v>
      </c>
    </row>
    <row r="26" spans="1:42" s="102" customFormat="1">
      <c r="A26" s="139" t="s">
        <v>87</v>
      </c>
      <c r="B26" s="133" t="s">
        <v>4</v>
      </c>
      <c r="C26" s="124">
        <f t="shared" ref="C26:F26" si="58">SUM(C25,C20)</f>
        <v>938479.7398829516</v>
      </c>
      <c r="D26" s="124">
        <f t="shared" si="58"/>
        <v>886877.18709279737</v>
      </c>
      <c r="E26" s="124">
        <f t="shared" si="58"/>
        <v>422523.68535109609</v>
      </c>
      <c r="F26" s="124">
        <f t="shared" si="58"/>
        <v>60501.58769909991</v>
      </c>
      <c r="G26" s="124">
        <f t="shared" ref="G26:P26" si="59">SUM(G25,G20)</f>
        <v>-112122.32131092506</v>
      </c>
      <c r="H26" s="124">
        <f t="shared" ref="H26:K26" si="60">SUM(H25,H20)</f>
        <v>-18973.917690000031</v>
      </c>
      <c r="I26" s="124">
        <f t="shared" si="60"/>
        <v>-55257.266756883706</v>
      </c>
      <c r="J26" s="124">
        <f t="shared" si="60"/>
        <v>-19053.41925551591</v>
      </c>
      <c r="K26" s="124">
        <f t="shared" si="60"/>
        <v>-33304.204338684038</v>
      </c>
      <c r="L26" s="124">
        <f t="shared" si="59"/>
        <v>-126588.80804108386</v>
      </c>
      <c r="M26" s="124">
        <f t="shared" si="59"/>
        <v>-49040.157384123013</v>
      </c>
      <c r="N26" s="124">
        <f t="shared" si="59"/>
        <v>-33705.072030798532</v>
      </c>
      <c r="O26" s="124">
        <f t="shared" si="59"/>
        <v>11908.969323667232</v>
      </c>
      <c r="P26" s="124">
        <f t="shared" si="59"/>
        <v>87978.785651658371</v>
      </c>
      <c r="Q26" s="124">
        <f t="shared" ref="Q26:V26" si="61">SUM(Q25,Q20)</f>
        <v>17142.525560404407</v>
      </c>
      <c r="R26" s="124">
        <f t="shared" ref="R26:U26" si="62">SUM(R25,R20)</f>
        <v>2276.9193808000418</v>
      </c>
      <c r="S26" s="124">
        <f t="shared" si="62"/>
        <v>59457.169534300105</v>
      </c>
      <c r="T26" s="124">
        <f t="shared" si="62"/>
        <v>186607.62093309977</v>
      </c>
      <c r="U26" s="124">
        <f t="shared" si="62"/>
        <v>50194.686516038491</v>
      </c>
      <c r="V26" s="124">
        <f t="shared" si="61"/>
        <v>298536.39636423858</v>
      </c>
      <c r="W26" s="124">
        <f t="shared" ref="W26:Z26" si="63">SUM(W25,W20)</f>
        <v>183994.42544519831</v>
      </c>
      <c r="X26" s="124">
        <f t="shared" si="63"/>
        <v>220076.73189534398</v>
      </c>
      <c r="Y26" s="125">
        <f t="shared" si="63"/>
        <v>217175.32915076299</v>
      </c>
      <c r="Z26" s="125">
        <f t="shared" si="63"/>
        <v>163118.45635699993</v>
      </c>
      <c r="AA26" s="124">
        <f t="shared" si="31"/>
        <v>784364.94284830522</v>
      </c>
      <c r="AB26" s="124">
        <f t="shared" ref="AB26:AC26" si="64">SUM(AB25,AB20)</f>
        <v>103345</v>
      </c>
      <c r="AC26" s="124">
        <f t="shared" si="64"/>
        <v>171829.08009899745</v>
      </c>
      <c r="AD26" s="125">
        <f t="shared" ref="AD26:AE26" si="65">SUM(AD25,AD20)</f>
        <v>241838.72379574645</v>
      </c>
      <c r="AE26" s="125">
        <f t="shared" si="65"/>
        <v>171678.96418871696</v>
      </c>
      <c r="AF26" s="124">
        <f t="shared" si="32"/>
        <v>688691.76808346086</v>
      </c>
      <c r="AG26" s="124">
        <f t="shared" ref="AG26:AJ26" si="66">SUM(AG25,AG20)</f>
        <v>105690.80837090674</v>
      </c>
      <c r="AH26" s="124">
        <f t="shared" si="66"/>
        <v>150512.50698141265</v>
      </c>
      <c r="AI26" s="125">
        <f t="shared" si="66"/>
        <v>182927.86303986516</v>
      </c>
      <c r="AJ26" s="125">
        <f t="shared" si="66"/>
        <v>143745.18050227733</v>
      </c>
      <c r="AK26" s="124">
        <f t="shared" si="40"/>
        <v>582876.35889446188</v>
      </c>
      <c r="AL26" s="124">
        <f t="shared" ref="AL26:AO26" si="67">SUM(AL25,AL20)</f>
        <v>108363.31717672024</v>
      </c>
      <c r="AM26" s="124">
        <f t="shared" si="67"/>
        <v>0</v>
      </c>
      <c r="AN26" s="125">
        <f t="shared" si="67"/>
        <v>0</v>
      </c>
      <c r="AO26" s="125">
        <f t="shared" si="67"/>
        <v>0</v>
      </c>
      <c r="AP26" s="124">
        <f t="shared" ref="AP26:AP40" si="68">SUM(AL26:AO26)</f>
        <v>108363.31717672024</v>
      </c>
    </row>
    <row r="27" spans="1:42" s="102" customFormat="1">
      <c r="A27" s="138" t="s">
        <v>69</v>
      </c>
      <c r="B27" s="126" t="s">
        <v>4</v>
      </c>
      <c r="C27" s="121">
        <v>-143508.57916960696</v>
      </c>
      <c r="D27" s="121">
        <v>-175666.34143771729</v>
      </c>
      <c r="E27" s="121">
        <v>-168595.73837768217</v>
      </c>
      <c r="F27" s="121">
        <v>-179224.87413630134</v>
      </c>
      <c r="G27" s="116">
        <v>-188439.18045450028</v>
      </c>
      <c r="H27" s="121">
        <v>-34238.68915520022</v>
      </c>
      <c r="I27" s="121">
        <v>-40272.950490208401</v>
      </c>
      <c r="J27" s="121">
        <v>-42112.53582269109</v>
      </c>
      <c r="K27" s="121">
        <v>-38975.808316500275</v>
      </c>
      <c r="L27" s="121">
        <f>SUM(H27:K27)</f>
        <v>-155599.98378459999</v>
      </c>
      <c r="M27" s="121">
        <v>-42115.763054799783</v>
      </c>
      <c r="N27" s="121">
        <v>-40426.70172200026</v>
      </c>
      <c r="O27" s="121">
        <v>-45123.197547099189</v>
      </c>
      <c r="P27" s="121">
        <v>-42462.438867800767</v>
      </c>
      <c r="Q27" s="121">
        <f>SUM(M27:P27)</f>
        <v>-170128.1011917</v>
      </c>
      <c r="R27" s="121">
        <v>-40524.949380599828</v>
      </c>
      <c r="S27" s="121">
        <v>-39026</v>
      </c>
      <c r="T27" s="116">
        <v>-41647</v>
      </c>
      <c r="U27" s="121">
        <v>-67381</v>
      </c>
      <c r="V27" s="121">
        <f>SUM(R27:U27)</f>
        <v>-188578.94938059984</v>
      </c>
      <c r="W27" s="121">
        <v>-44628.039544000552</v>
      </c>
      <c r="X27" s="116">
        <v>-59693.922989199433</v>
      </c>
      <c r="Y27" s="116">
        <v>-65682</v>
      </c>
      <c r="Z27" s="116">
        <v>-67875</v>
      </c>
      <c r="AA27" s="121">
        <f t="shared" si="31"/>
        <v>-237878.96253319999</v>
      </c>
      <c r="AB27" s="121">
        <v>-65272</v>
      </c>
      <c r="AC27" s="116">
        <v>-68448.302928230434</v>
      </c>
      <c r="AD27" s="116">
        <v>-69790.282003469561</v>
      </c>
      <c r="AE27" s="116">
        <v>-63278.406436800055</v>
      </c>
      <c r="AF27" s="121">
        <f t="shared" si="32"/>
        <v>-266788.99136850005</v>
      </c>
      <c r="AG27" s="121">
        <v>-65992.6228997</v>
      </c>
      <c r="AH27" s="116">
        <v>-61378.879447700005</v>
      </c>
      <c r="AI27" s="116">
        <v>-59092.0410386</v>
      </c>
      <c r="AJ27" s="116">
        <v>-60210.791615299953</v>
      </c>
      <c r="AK27" s="121">
        <f t="shared" si="40"/>
        <v>-246674.33500129997</v>
      </c>
      <c r="AL27" s="121">
        <v>-61497.990456799991</v>
      </c>
      <c r="AM27" s="116"/>
      <c r="AN27" s="116"/>
      <c r="AO27" s="116"/>
      <c r="AP27" s="121">
        <f t="shared" si="68"/>
        <v>-61497.990456799991</v>
      </c>
    </row>
    <row r="28" spans="1:42" s="102" customFormat="1">
      <c r="A28" s="138" t="s">
        <v>91</v>
      </c>
      <c r="B28" s="126" t="s">
        <v>4</v>
      </c>
      <c r="C28" s="121">
        <v>5034.5152300000009</v>
      </c>
      <c r="D28" s="121">
        <v>-32667.89645</v>
      </c>
      <c r="E28" s="121">
        <v>-7259.5062146999999</v>
      </c>
      <c r="F28" s="121">
        <v>-2429.8871897000004</v>
      </c>
      <c r="G28" s="116">
        <v>-2444.3851510999998</v>
      </c>
      <c r="H28" s="121">
        <v>-5406.7252165000027</v>
      </c>
      <c r="I28" s="121">
        <v>-5500.0779296000183</v>
      </c>
      <c r="J28" s="121">
        <v>-6159.8147557999764</v>
      </c>
      <c r="K28" s="121">
        <v>-5035.9424916000025</v>
      </c>
      <c r="L28" s="121">
        <f>SUM(H28:K28)</f>
        <v>-22102.5603935</v>
      </c>
      <c r="M28" s="121">
        <v>-4233.6598353000009</v>
      </c>
      <c r="N28" s="121">
        <v>-4207.2360167000006</v>
      </c>
      <c r="O28" s="121">
        <v>-6023.4834936999978</v>
      </c>
      <c r="P28" s="121">
        <v>-7417.8845858999994</v>
      </c>
      <c r="Q28" s="121">
        <f>SUM(M28:P28)</f>
        <v>-21882.263931599999</v>
      </c>
      <c r="R28" s="121">
        <v>-6249</v>
      </c>
      <c r="S28" s="121">
        <v>-1575</v>
      </c>
      <c r="T28" s="116">
        <v>-5618</v>
      </c>
      <c r="U28" s="121">
        <v>-3621</v>
      </c>
      <c r="V28" s="121">
        <f>SUM(R28:U28)</f>
        <v>-17063</v>
      </c>
      <c r="W28" s="121">
        <v>-3860.2431695999935</v>
      </c>
      <c r="X28" s="116">
        <v>-5210.0407075000057</v>
      </c>
      <c r="Y28" s="116">
        <v>-6727</v>
      </c>
      <c r="Z28" s="116">
        <v>-4482</v>
      </c>
      <c r="AA28" s="121">
        <f t="shared" si="31"/>
        <v>-20279.283877099999</v>
      </c>
      <c r="AB28" s="121">
        <v>-5070</v>
      </c>
      <c r="AC28" s="116">
        <v>-6707.7055976391293</v>
      </c>
      <c r="AD28" s="116">
        <v>-9060.7182044608689</v>
      </c>
      <c r="AE28" s="116">
        <v>-6100.8319063999952</v>
      </c>
      <c r="AF28" s="121">
        <f t="shared" si="32"/>
        <v>-26939.255708499993</v>
      </c>
      <c r="AG28" s="121">
        <v>-7041.6213349</v>
      </c>
      <c r="AH28" s="116">
        <v>-6932.6640469000004</v>
      </c>
      <c r="AI28" s="116">
        <v>-6798.3339884999996</v>
      </c>
      <c r="AJ28" s="116">
        <v>-9948.0324499000053</v>
      </c>
      <c r="AK28" s="121">
        <f t="shared" si="40"/>
        <v>-30720.651820200004</v>
      </c>
      <c r="AL28" s="121">
        <v>-6614.800270499999</v>
      </c>
      <c r="AM28" s="116"/>
      <c r="AN28" s="116"/>
      <c r="AO28" s="116"/>
      <c r="AP28" s="121">
        <f t="shared" si="68"/>
        <v>-6614.800270499999</v>
      </c>
    </row>
    <row r="29" spans="1:42" s="102" customFormat="1">
      <c r="A29" s="138" t="s">
        <v>86</v>
      </c>
      <c r="B29" s="126" t="s">
        <v>4</v>
      </c>
      <c r="C29" s="121">
        <v>-2054.7196922059829</v>
      </c>
      <c r="D29" s="121">
        <v>-11360.450080000002</v>
      </c>
      <c r="E29" s="121">
        <v>-12447.793820000001</v>
      </c>
      <c r="F29" s="121">
        <v>-13886.269120000004</v>
      </c>
      <c r="G29" s="121">
        <v>-14119.581769999997</v>
      </c>
      <c r="H29" s="121">
        <v>-3250.3461100000004</v>
      </c>
      <c r="I29" s="121">
        <v>-3461.6505199999983</v>
      </c>
      <c r="J29" s="121">
        <v>-3266.2046000000018</v>
      </c>
      <c r="K29" s="121">
        <v>-3423.8716399999994</v>
      </c>
      <c r="L29" s="121">
        <f>SUM(H29:K29)</f>
        <v>-13402.07287</v>
      </c>
      <c r="M29" s="121">
        <v>-2337.5038500000001</v>
      </c>
      <c r="N29" s="121">
        <v>-1550.2837399999999</v>
      </c>
      <c r="O29" s="121">
        <v>-1572.7403599999998</v>
      </c>
      <c r="P29" s="121">
        <v>-5250.6185899999973</v>
      </c>
      <c r="Q29" s="121">
        <f>SUM(M29:P29)</f>
        <v>-10711.146539999998</v>
      </c>
      <c r="R29" s="121">
        <v>-1479.4515499999998</v>
      </c>
      <c r="S29" s="121">
        <v>-2062</v>
      </c>
      <c r="T29" s="116">
        <v>-3541.5364100000006</v>
      </c>
      <c r="U29" s="121">
        <v>-4974</v>
      </c>
      <c r="V29" s="121">
        <f>SUM(R29:U29)</f>
        <v>-12056.98796</v>
      </c>
      <c r="W29" s="121">
        <v>-2669.1507200000001</v>
      </c>
      <c r="X29" s="116">
        <v>-2632.9576099999999</v>
      </c>
      <c r="Y29" s="116">
        <v>-2551</v>
      </c>
      <c r="Z29" s="116">
        <v>-2989</v>
      </c>
      <c r="AA29" s="121">
        <f t="shared" si="31"/>
        <v>-10842.108329999999</v>
      </c>
      <c r="AB29" s="121">
        <v>-2354</v>
      </c>
      <c r="AC29" s="116">
        <v>-730.42284215652489</v>
      </c>
      <c r="AD29" s="116">
        <v>-1405.944097843475</v>
      </c>
      <c r="AE29" s="116">
        <v>-1359.8610200000003</v>
      </c>
      <c r="AF29" s="121">
        <f t="shared" si="32"/>
        <v>-5850.2279600000002</v>
      </c>
      <c r="AG29" s="121">
        <v>-709.09235999999999</v>
      </c>
      <c r="AH29" s="116">
        <v>-960.54706999999996</v>
      </c>
      <c r="AI29" s="116">
        <v>-1982.7829200000001</v>
      </c>
      <c r="AJ29" s="116">
        <v>-961.52447999999958</v>
      </c>
      <c r="AK29" s="121">
        <f t="shared" si="40"/>
        <v>-4613.946829999999</v>
      </c>
      <c r="AL29" s="121">
        <v>-973.04576000000009</v>
      </c>
      <c r="AM29" s="116"/>
      <c r="AN29" s="116"/>
      <c r="AO29" s="116"/>
      <c r="AP29" s="121">
        <f t="shared" si="68"/>
        <v>-973.04576000000009</v>
      </c>
    </row>
    <row r="30" spans="1:42" s="102" customFormat="1">
      <c r="A30" s="139" t="s">
        <v>88</v>
      </c>
      <c r="B30" s="132" t="s">
        <v>4</v>
      </c>
      <c r="C30" s="124">
        <f t="shared" ref="C30:F30" si="69">SUM(C27:C29)</f>
        <v>-140528.78363181296</v>
      </c>
      <c r="D30" s="124">
        <f t="shared" si="69"/>
        <v>-219694.6879677173</v>
      </c>
      <c r="E30" s="124">
        <f t="shared" si="69"/>
        <v>-188303.03841238216</v>
      </c>
      <c r="F30" s="124">
        <f t="shared" si="69"/>
        <v>-195541.03044600136</v>
      </c>
      <c r="G30" s="124">
        <f t="shared" ref="G30:V30" si="70">SUM(G27:G29)</f>
        <v>-205003.14737560027</v>
      </c>
      <c r="H30" s="124">
        <f t="shared" ref="H30:K30" si="71">SUM(H27:H29)</f>
        <v>-42895.760481700221</v>
      </c>
      <c r="I30" s="124">
        <f t="shared" si="71"/>
        <v>-49234.678939808415</v>
      </c>
      <c r="J30" s="124">
        <f t="shared" si="71"/>
        <v>-51538.555178491071</v>
      </c>
      <c r="K30" s="124">
        <f t="shared" si="71"/>
        <v>-47435.622448100272</v>
      </c>
      <c r="L30" s="124">
        <f t="shared" si="70"/>
        <v>-191104.61704809999</v>
      </c>
      <c r="M30" s="124">
        <f t="shared" si="70"/>
        <v>-48686.926740099785</v>
      </c>
      <c r="N30" s="124">
        <f t="shared" si="70"/>
        <v>-46184.221478700259</v>
      </c>
      <c r="O30" s="124">
        <f t="shared" si="70"/>
        <v>-52719.421400799183</v>
      </c>
      <c r="P30" s="124">
        <f t="shared" si="70"/>
        <v>-55130.942043700765</v>
      </c>
      <c r="Q30" s="124">
        <f t="shared" si="70"/>
        <v>-202721.51166329999</v>
      </c>
      <c r="R30" s="124">
        <f t="shared" ref="R30:U30" si="72">SUM(R27:R29)</f>
        <v>-48253.400930599826</v>
      </c>
      <c r="S30" s="124">
        <f t="shared" si="72"/>
        <v>-42663</v>
      </c>
      <c r="T30" s="124">
        <f t="shared" si="72"/>
        <v>-50806.536410000001</v>
      </c>
      <c r="U30" s="124">
        <f t="shared" si="72"/>
        <v>-75976</v>
      </c>
      <c r="V30" s="124">
        <f t="shared" si="70"/>
        <v>-217698.93734059983</v>
      </c>
      <c r="W30" s="124">
        <f t="shared" ref="W30:Z30" si="73">SUM(W27:W29)</f>
        <v>-51157.433433600541</v>
      </c>
      <c r="X30" s="124">
        <f t="shared" si="73"/>
        <v>-67536.921306699442</v>
      </c>
      <c r="Y30" s="125">
        <f t="shared" si="73"/>
        <v>-74960</v>
      </c>
      <c r="Z30" s="125">
        <f t="shared" si="73"/>
        <v>-75346</v>
      </c>
      <c r="AA30" s="124">
        <f t="shared" si="31"/>
        <v>-269000.35474029998</v>
      </c>
      <c r="AB30" s="124">
        <f t="shared" ref="AB30:AE30" si="74">SUM(AB27:AB29)</f>
        <v>-72696</v>
      </c>
      <c r="AC30" s="124">
        <f t="shared" si="74"/>
        <v>-75886.431368026082</v>
      </c>
      <c r="AD30" s="125">
        <f t="shared" si="74"/>
        <v>-80256.944305773897</v>
      </c>
      <c r="AE30" s="125">
        <f t="shared" si="74"/>
        <v>-70739.099363200046</v>
      </c>
      <c r="AF30" s="124">
        <f t="shared" si="32"/>
        <v>-299578.47503700003</v>
      </c>
      <c r="AG30" s="124">
        <f t="shared" ref="AG30:AJ30" si="75">SUM(AG27:AG29)</f>
        <v>-73743.336594599998</v>
      </c>
      <c r="AH30" s="124">
        <f t="shared" si="75"/>
        <v>-69272.090564600003</v>
      </c>
      <c r="AI30" s="125">
        <f t="shared" si="75"/>
        <v>-67873.1579471</v>
      </c>
      <c r="AJ30" s="125">
        <f t="shared" si="75"/>
        <v>-71120.348545199959</v>
      </c>
      <c r="AK30" s="124">
        <f t="shared" si="40"/>
        <v>-282008.93365149997</v>
      </c>
      <c r="AL30" s="124">
        <f t="shared" ref="AL30:AO30" si="76">SUM(AL27:AL29)</f>
        <v>-69085.836487299981</v>
      </c>
      <c r="AM30" s="124">
        <f t="shared" si="76"/>
        <v>0</v>
      </c>
      <c r="AN30" s="125">
        <f t="shared" si="76"/>
        <v>0</v>
      </c>
      <c r="AO30" s="125">
        <f t="shared" si="76"/>
        <v>0</v>
      </c>
      <c r="AP30" s="124">
        <f t="shared" si="68"/>
        <v>-69085.836487299981</v>
      </c>
    </row>
    <row r="31" spans="1:42" s="97" customFormat="1">
      <c r="A31" s="140" t="s">
        <v>89</v>
      </c>
      <c r="B31" s="141" t="s">
        <v>4</v>
      </c>
      <c r="C31" s="116">
        <v>36887.270311270855</v>
      </c>
      <c r="D31" s="116">
        <v>73270.847688438633</v>
      </c>
      <c r="E31" s="116">
        <v>120266.48574222514</v>
      </c>
      <c r="F31" s="116">
        <v>110919.0943818823</v>
      </c>
      <c r="G31" s="116">
        <v>126775.54515931172</v>
      </c>
      <c r="H31" s="116">
        <v>0.11405803002389803</v>
      </c>
      <c r="I31" s="116">
        <v>-0.11405803002389803</v>
      </c>
      <c r="J31" s="116">
        <v>0</v>
      </c>
      <c r="K31" s="116">
        <v>0</v>
      </c>
      <c r="L31" s="121">
        <f>SUM(H31:K31)</f>
        <v>0</v>
      </c>
      <c r="M31" s="116">
        <v>0</v>
      </c>
      <c r="N31" s="116">
        <v>0</v>
      </c>
      <c r="O31" s="116">
        <v>0</v>
      </c>
      <c r="P31" s="116">
        <v>0</v>
      </c>
      <c r="Q31" s="121">
        <f>SUM(M31:P31)</f>
        <v>0</v>
      </c>
      <c r="R31" s="116">
        <v>0</v>
      </c>
      <c r="S31" s="116">
        <v>0</v>
      </c>
      <c r="T31" s="116">
        <v>0</v>
      </c>
      <c r="U31" s="116">
        <v>0</v>
      </c>
      <c r="V31" s="121">
        <f>SUM(R31:U31)</f>
        <v>0</v>
      </c>
      <c r="W31" s="116">
        <v>0</v>
      </c>
      <c r="X31" s="116">
        <v>100.83959630000078</v>
      </c>
      <c r="Y31" s="116">
        <v>-10.839596300000778</v>
      </c>
      <c r="Z31" s="116">
        <f>74-SUM(W31:Y31)</f>
        <v>-16</v>
      </c>
      <c r="AA31" s="121">
        <f t="shared" si="31"/>
        <v>74</v>
      </c>
      <c r="AB31" s="116">
        <v>6</v>
      </c>
      <c r="AC31" s="116">
        <v>-18</v>
      </c>
      <c r="AD31" s="116">
        <v>-10</v>
      </c>
      <c r="AE31" s="116">
        <v>39</v>
      </c>
      <c r="AF31" s="121">
        <f t="shared" si="32"/>
        <v>17</v>
      </c>
      <c r="AG31" s="116">
        <v>22</v>
      </c>
      <c r="AH31" s="116">
        <v>-35</v>
      </c>
      <c r="AI31" s="116">
        <v>29</v>
      </c>
      <c r="AJ31" s="116">
        <v>26</v>
      </c>
      <c r="AK31" s="121">
        <f t="shared" si="40"/>
        <v>42</v>
      </c>
      <c r="AL31" s="116">
        <v>22</v>
      </c>
      <c r="AM31" s="116"/>
      <c r="AN31" s="116"/>
      <c r="AO31" s="116"/>
      <c r="AP31" s="121">
        <f t="shared" si="68"/>
        <v>22</v>
      </c>
    </row>
    <row r="32" spans="1:42" s="97" customFormat="1">
      <c r="A32" s="140" t="s">
        <v>90</v>
      </c>
      <c r="B32" s="141" t="s">
        <v>4</v>
      </c>
      <c r="C32" s="116">
        <v>76140.583793627287</v>
      </c>
      <c r="D32" s="116">
        <v>57668.391959800014</v>
      </c>
      <c r="E32" s="116">
        <v>84785.546457999983</v>
      </c>
      <c r="F32" s="116">
        <v>44355.763525199996</v>
      </c>
      <c r="G32" s="116">
        <v>-742931.63170231285</v>
      </c>
      <c r="H32" s="116">
        <v>-1694.3609619999334</v>
      </c>
      <c r="I32" s="116">
        <v>12987.870203599832</v>
      </c>
      <c r="J32" s="116">
        <v>78329.054328500017</v>
      </c>
      <c r="K32" s="116">
        <v>-99309.778581034145</v>
      </c>
      <c r="L32" s="121">
        <f>SUM(H32:K32)</f>
        <v>-9687.2150109342329</v>
      </c>
      <c r="M32" s="116">
        <v>19143.749262999911</v>
      </c>
      <c r="N32" s="116">
        <v>27997.073859999968</v>
      </c>
      <c r="O32" s="116">
        <v>27443.028638800068</v>
      </c>
      <c r="P32" s="116">
        <v>-88348.474229792162</v>
      </c>
      <c r="Q32" s="121">
        <f>SUM(M32:P32)</f>
        <v>-13764.622467992216</v>
      </c>
      <c r="R32" s="116">
        <v>9463</v>
      </c>
      <c r="S32" s="116">
        <v>17899</v>
      </c>
      <c r="T32" s="116">
        <v>27053.997759400027</v>
      </c>
      <c r="U32" s="116">
        <v>50920</v>
      </c>
      <c r="V32" s="121">
        <f>SUM(R32:U32)</f>
        <v>105335.99775940002</v>
      </c>
      <c r="W32" s="116">
        <v>20401</v>
      </c>
      <c r="X32" s="116">
        <v>78470.113967900019</v>
      </c>
      <c r="Y32" s="116">
        <v>-9628.1139679000189</v>
      </c>
      <c r="Z32" s="116">
        <v>48757</v>
      </c>
      <c r="AA32" s="121">
        <f t="shared" si="31"/>
        <v>138000</v>
      </c>
      <c r="AB32" s="116">
        <v>5105</v>
      </c>
      <c r="AC32" s="116">
        <v>45737</v>
      </c>
      <c r="AD32" s="116">
        <v>-1765</v>
      </c>
      <c r="AE32" s="116">
        <v>40128</v>
      </c>
      <c r="AF32" s="121">
        <f t="shared" si="32"/>
        <v>89205</v>
      </c>
      <c r="AG32" s="116">
        <v>13043</v>
      </c>
      <c r="AH32" s="116">
        <v>-41431</v>
      </c>
      <c r="AI32" s="116">
        <v>-7453</v>
      </c>
      <c r="AJ32" s="116">
        <v>37027</v>
      </c>
      <c r="AK32" s="121">
        <f t="shared" si="40"/>
        <v>1186</v>
      </c>
      <c r="AL32" s="116">
        <v>25420</v>
      </c>
      <c r="AM32" s="116"/>
      <c r="AN32" s="116"/>
      <c r="AO32" s="116"/>
      <c r="AP32" s="121">
        <f t="shared" si="68"/>
        <v>25420</v>
      </c>
    </row>
    <row r="33" spans="1:42" s="102" customFormat="1">
      <c r="A33" s="133" t="s">
        <v>92</v>
      </c>
      <c r="B33" s="133" t="s">
        <v>4</v>
      </c>
      <c r="C33" s="124">
        <f t="shared" ref="C33:F33" si="77">SUM(C30:C32,C26)</f>
        <v>910978.81035603676</v>
      </c>
      <c r="D33" s="124">
        <f t="shared" si="77"/>
        <v>798121.73877331871</v>
      </c>
      <c r="E33" s="124">
        <f t="shared" si="77"/>
        <v>439272.67913893907</v>
      </c>
      <c r="F33" s="124">
        <f t="shared" si="77"/>
        <v>20235.415160180848</v>
      </c>
      <c r="G33" s="124">
        <f t="shared" ref="G33:P33" si="78">SUM(G30:G32,G26)</f>
        <v>-933281.55522952648</v>
      </c>
      <c r="H33" s="124">
        <f t="shared" ref="H33:K33" si="79">SUM(H30:H32,H26)</f>
        <v>-63563.925075670159</v>
      </c>
      <c r="I33" s="124">
        <f t="shared" si="79"/>
        <v>-91504.189551122312</v>
      </c>
      <c r="J33" s="124">
        <f t="shared" si="79"/>
        <v>7737.0798944930357</v>
      </c>
      <c r="K33" s="124">
        <f t="shared" si="79"/>
        <v>-180049.60536781844</v>
      </c>
      <c r="L33" s="124">
        <f t="shared" si="78"/>
        <v>-327380.64010011806</v>
      </c>
      <c r="M33" s="124">
        <f t="shared" si="78"/>
        <v>-78583.334861222887</v>
      </c>
      <c r="N33" s="124">
        <f t="shared" si="78"/>
        <v>-51892.219649498824</v>
      </c>
      <c r="O33" s="124">
        <f t="shared" si="78"/>
        <v>-13367.423438331884</v>
      </c>
      <c r="P33" s="124">
        <f t="shared" si="78"/>
        <v>-55500.630621834542</v>
      </c>
      <c r="Q33" s="124">
        <f t="shared" ref="Q33:V33" si="80">SUM(Q30:Q32,Q26)</f>
        <v>-199343.60857088779</v>
      </c>
      <c r="R33" s="124">
        <f t="shared" ref="R33:U33" si="81">SUM(R30:R32,R26)</f>
        <v>-36513.481549799784</v>
      </c>
      <c r="S33" s="124">
        <f t="shared" si="81"/>
        <v>34693.169534300105</v>
      </c>
      <c r="T33" s="125">
        <f t="shared" si="81"/>
        <v>162855.08228249979</v>
      </c>
      <c r="U33" s="124">
        <f t="shared" si="81"/>
        <v>25138.686516038491</v>
      </c>
      <c r="V33" s="124">
        <f t="shared" si="80"/>
        <v>186173.45678303877</v>
      </c>
      <c r="W33" s="124">
        <f t="shared" ref="W33:Z33" si="82">SUM(W30:W32,W26)</f>
        <v>153237.99201159779</v>
      </c>
      <c r="X33" s="124">
        <f t="shared" si="82"/>
        <v>231110.76415284455</v>
      </c>
      <c r="Y33" s="125">
        <f t="shared" si="82"/>
        <v>132576.37558656296</v>
      </c>
      <c r="Z33" s="125">
        <f t="shared" si="82"/>
        <v>136513.45635699993</v>
      </c>
      <c r="AA33" s="124">
        <f t="shared" si="31"/>
        <v>653438.58810800523</v>
      </c>
      <c r="AB33" s="124">
        <f t="shared" ref="AB33:AE33" si="83">SUM(AB30:AB32,AB26)</f>
        <v>35760</v>
      </c>
      <c r="AC33" s="124">
        <f t="shared" si="83"/>
        <v>141661.64873097138</v>
      </c>
      <c r="AD33" s="125">
        <f t="shared" si="83"/>
        <v>159806.77948997257</v>
      </c>
      <c r="AE33" s="125">
        <f t="shared" si="83"/>
        <v>141106.86482551691</v>
      </c>
      <c r="AF33" s="124">
        <f t="shared" si="32"/>
        <v>478335.29304646084</v>
      </c>
      <c r="AG33" s="124">
        <f t="shared" ref="AG33:AJ33" si="84">SUM(AG30:AG32,AG26)</f>
        <v>45012.471776306746</v>
      </c>
      <c r="AH33" s="124">
        <f t="shared" si="84"/>
        <v>39774.416416812644</v>
      </c>
      <c r="AI33" s="125">
        <f t="shared" si="84"/>
        <v>107630.70509276516</v>
      </c>
      <c r="AJ33" s="125">
        <f t="shared" si="84"/>
        <v>109677.83195707737</v>
      </c>
      <c r="AK33" s="124">
        <f t="shared" si="40"/>
        <v>302095.42524296191</v>
      </c>
      <c r="AL33" s="124">
        <f t="shared" ref="AL33:AO33" si="85">SUM(AL30:AL32,AL26)</f>
        <v>64719.480689420263</v>
      </c>
      <c r="AM33" s="124">
        <f t="shared" si="85"/>
        <v>0</v>
      </c>
      <c r="AN33" s="125">
        <f t="shared" si="85"/>
        <v>0</v>
      </c>
      <c r="AO33" s="125">
        <f t="shared" si="85"/>
        <v>0</v>
      </c>
      <c r="AP33" s="124">
        <f t="shared" si="68"/>
        <v>64719.480689420263</v>
      </c>
    </row>
    <row r="34" spans="1:42">
      <c r="A34" s="135" t="s">
        <v>93</v>
      </c>
      <c r="B34" s="126" t="s">
        <v>4</v>
      </c>
      <c r="C34" s="121">
        <v>-83328.228224358914</v>
      </c>
      <c r="D34" s="121">
        <v>29875.815906949574</v>
      </c>
      <c r="E34" s="121">
        <v>-70562.73259330896</v>
      </c>
      <c r="F34" s="121">
        <v>-76336.577572000009</v>
      </c>
      <c r="G34" s="121">
        <v>-10267.898863399998</v>
      </c>
      <c r="H34" s="121">
        <v>-1689.9499032000022</v>
      </c>
      <c r="I34" s="121">
        <v>-92317.078625500013</v>
      </c>
      <c r="J34" s="121">
        <v>-30292.738530400027</v>
      </c>
      <c r="K34" s="121">
        <v>26403.767059100035</v>
      </c>
      <c r="L34" s="121">
        <f>SUM(H34:K34)</f>
        <v>-97896</v>
      </c>
      <c r="M34" s="121">
        <v>-2180.3440700000037</v>
      </c>
      <c r="N34" s="121">
        <v>-1308.7959299999975</v>
      </c>
      <c r="O34" s="121">
        <v>-1972.0174699999907</v>
      </c>
      <c r="P34" s="121">
        <v>443.15746999999192</v>
      </c>
      <c r="Q34" s="121">
        <f>SUM(M34:P34)</f>
        <v>-5018</v>
      </c>
      <c r="R34" s="121">
        <v>-7975.7429499999998</v>
      </c>
      <c r="S34" s="121">
        <v>-8670.7302799999979</v>
      </c>
      <c r="T34" s="116">
        <v>-7679</v>
      </c>
      <c r="U34" s="121">
        <v>1173</v>
      </c>
      <c r="V34" s="121">
        <f>SUM(R34:U34)</f>
        <v>-23152.473229999996</v>
      </c>
      <c r="W34" s="121">
        <v>-2144</v>
      </c>
      <c r="X34" s="116">
        <v>-130.01847821305591</v>
      </c>
      <c r="Y34" s="116">
        <v>-1255</v>
      </c>
      <c r="Z34" s="116">
        <v>-1265.9815217869404</v>
      </c>
      <c r="AA34" s="121">
        <f t="shared" si="31"/>
        <v>-4794.9999999999964</v>
      </c>
      <c r="AB34" s="121">
        <v>-5802</v>
      </c>
      <c r="AC34" s="116">
        <v>339</v>
      </c>
      <c r="AD34" s="116">
        <v>-5243</v>
      </c>
      <c r="AE34" s="116">
        <v>-1374</v>
      </c>
      <c r="AF34" s="121">
        <f t="shared" si="32"/>
        <v>-12080</v>
      </c>
      <c r="AG34" s="121">
        <v>-4524</v>
      </c>
      <c r="AH34" s="116">
        <v>1659</v>
      </c>
      <c r="AI34" s="116">
        <v>-303</v>
      </c>
      <c r="AJ34" s="116">
        <v>-190</v>
      </c>
      <c r="AK34" s="121">
        <f t="shared" si="40"/>
        <v>-3358</v>
      </c>
      <c r="AL34" s="121">
        <v>-1834</v>
      </c>
      <c r="AM34" s="116"/>
      <c r="AN34" s="116"/>
      <c r="AO34" s="116"/>
      <c r="AP34" s="121">
        <f t="shared" si="68"/>
        <v>-1834</v>
      </c>
    </row>
    <row r="35" spans="1:42">
      <c r="A35" s="135" t="s">
        <v>94</v>
      </c>
      <c r="B35" s="126" t="s">
        <v>4</v>
      </c>
      <c r="C35" s="121">
        <v>170391.28968296552</v>
      </c>
      <c r="D35" s="121">
        <v>197649.26042530715</v>
      </c>
      <c r="E35" s="121">
        <v>173236.60511901669</v>
      </c>
      <c r="F35" s="121">
        <v>213153.2451765</v>
      </c>
      <c r="G35" s="121">
        <v>123872.79678328869</v>
      </c>
      <c r="H35" s="121">
        <v>46266.687537200007</v>
      </c>
      <c r="I35" s="121">
        <v>-42734.075937653477</v>
      </c>
      <c r="J35" s="121">
        <v>79854.844210156472</v>
      </c>
      <c r="K35" s="121">
        <v>49504.544190296998</v>
      </c>
      <c r="L35" s="121">
        <f>SUM(H35:K35)</f>
        <v>132892</v>
      </c>
      <c r="M35" s="121">
        <v>9898.4621372000038</v>
      </c>
      <c r="N35" s="121">
        <v>19686.059678299989</v>
      </c>
      <c r="O35" s="121">
        <v>19204.090549500012</v>
      </c>
      <c r="P35" s="121">
        <v>5738.3876349999955</v>
      </c>
      <c r="Q35" s="121">
        <f>SUM(M35:P35)</f>
        <v>54527</v>
      </c>
      <c r="R35" s="121">
        <v>19113</v>
      </c>
      <c r="S35" s="121">
        <v>9921</v>
      </c>
      <c r="T35" s="116">
        <v>14837</v>
      </c>
      <c r="U35" s="121">
        <v>1221</v>
      </c>
      <c r="V35" s="121">
        <f>SUM(R35:U35)</f>
        <v>45092</v>
      </c>
      <c r="W35" s="127">
        <f>4269-920</f>
        <v>3349</v>
      </c>
      <c r="X35" s="116">
        <v>60050.103624899995</v>
      </c>
      <c r="Y35" s="116">
        <v>22865</v>
      </c>
      <c r="Z35" s="116">
        <v>52927.896375100012</v>
      </c>
      <c r="AA35" s="121">
        <f t="shared" si="31"/>
        <v>139192</v>
      </c>
      <c r="AB35" s="121">
        <v>26522</v>
      </c>
      <c r="AC35" s="116">
        <v>29116</v>
      </c>
      <c r="AD35" s="116">
        <v>26552</v>
      </c>
      <c r="AE35" s="116">
        <v>37880</v>
      </c>
      <c r="AF35" s="121">
        <f t="shared" si="32"/>
        <v>120070</v>
      </c>
      <c r="AG35" s="121">
        <v>28405</v>
      </c>
      <c r="AH35" s="116">
        <v>32899</v>
      </c>
      <c r="AI35" s="116">
        <v>28549</v>
      </c>
      <c r="AJ35" s="116">
        <v>41293</v>
      </c>
      <c r="AK35" s="121">
        <f t="shared" si="40"/>
        <v>131146</v>
      </c>
      <c r="AL35" s="121">
        <v>30548</v>
      </c>
      <c r="AM35" s="116"/>
      <c r="AN35" s="116"/>
      <c r="AO35" s="116"/>
      <c r="AP35" s="121">
        <f t="shared" si="68"/>
        <v>30548</v>
      </c>
    </row>
    <row r="36" spans="1:42">
      <c r="A36" s="135" t="s">
        <v>95</v>
      </c>
      <c r="B36" s="126" t="s">
        <v>4</v>
      </c>
      <c r="C36" s="121">
        <v>-377069.63150750496</v>
      </c>
      <c r="D36" s="121">
        <v>-561945.3766834304</v>
      </c>
      <c r="E36" s="121">
        <v>-722068.06435210421</v>
      </c>
      <c r="F36" s="121">
        <v>-601382.12350490014</v>
      </c>
      <c r="G36" s="121">
        <v>-417333.69110159884</v>
      </c>
      <c r="H36" s="121">
        <v>-63359.899242099978</v>
      </c>
      <c r="I36" s="121">
        <v>-70443.229054400043</v>
      </c>
      <c r="J36" s="121">
        <v>-60645.100517999934</v>
      </c>
      <c r="K36" s="121">
        <v>-81157.771185500067</v>
      </c>
      <c r="L36" s="121">
        <f>SUM(H36:K36)</f>
        <v>-275606</v>
      </c>
      <c r="M36" s="121">
        <v>-55563.69656514316</v>
      </c>
      <c r="N36" s="121">
        <v>-47323.439458402558</v>
      </c>
      <c r="O36" s="121">
        <v>-93992.036768573293</v>
      </c>
      <c r="P36" s="121">
        <v>-134397.45343427866</v>
      </c>
      <c r="Q36" s="121">
        <f>SUM(M36:P36)</f>
        <v>-331276.6262263977</v>
      </c>
      <c r="R36" s="121">
        <v>-33929</v>
      </c>
      <c r="S36" s="121">
        <v>-65230</v>
      </c>
      <c r="T36" s="116">
        <v>-60663</v>
      </c>
      <c r="U36" s="121">
        <v>-60537</v>
      </c>
      <c r="V36" s="121">
        <f>SUM(R36:U36)</f>
        <v>-220359</v>
      </c>
      <c r="W36" s="127">
        <f>-37681+920</f>
        <v>-36761</v>
      </c>
      <c r="X36" s="116">
        <v>-56324.108781786934</v>
      </c>
      <c r="Y36" s="116">
        <v>-72168</v>
      </c>
      <c r="Z36" s="116">
        <v>-94831.891218213073</v>
      </c>
      <c r="AA36" s="121">
        <f t="shared" si="31"/>
        <v>-260085</v>
      </c>
      <c r="AB36" s="121">
        <v>-111984</v>
      </c>
      <c r="AC36" s="116">
        <v>-127890</v>
      </c>
      <c r="AD36" s="116">
        <v>-133573</v>
      </c>
      <c r="AE36" s="116">
        <v>-169486</v>
      </c>
      <c r="AF36" s="121">
        <f t="shared" si="32"/>
        <v>-542933</v>
      </c>
      <c r="AG36" s="121">
        <v>-145603</v>
      </c>
      <c r="AH36" s="116">
        <v>-195453</v>
      </c>
      <c r="AI36" s="116">
        <v>-164798</v>
      </c>
      <c r="AJ36" s="116">
        <v>-168987</v>
      </c>
      <c r="AK36" s="121">
        <f t="shared" si="40"/>
        <v>-674841</v>
      </c>
      <c r="AL36" s="121">
        <v>-138038</v>
      </c>
      <c r="AM36" s="116"/>
      <c r="AN36" s="116"/>
      <c r="AO36" s="116"/>
      <c r="AP36" s="121">
        <f t="shared" si="68"/>
        <v>-138038</v>
      </c>
    </row>
    <row r="37" spans="1:42" s="105" customFormat="1">
      <c r="A37" s="142" t="s">
        <v>3</v>
      </c>
      <c r="B37" s="132" t="s">
        <v>4</v>
      </c>
      <c r="C37" s="124">
        <f t="shared" ref="C37:F37" si="86">SUM(C34:C36)</f>
        <v>-290006.57004889834</v>
      </c>
      <c r="D37" s="124">
        <f t="shared" si="86"/>
        <v>-334420.30035117368</v>
      </c>
      <c r="E37" s="124">
        <f t="shared" si="86"/>
        <v>-619394.19182639651</v>
      </c>
      <c r="F37" s="124">
        <f t="shared" si="86"/>
        <v>-464565.45590040018</v>
      </c>
      <c r="G37" s="124">
        <f t="shared" ref="G37:V39" si="87">SUM(G34:G36)</f>
        <v>-303728.79318171018</v>
      </c>
      <c r="H37" s="124">
        <f t="shared" ref="H37:K37" si="88">SUM(H34:H36)</f>
        <v>-18783.161608099974</v>
      </c>
      <c r="I37" s="124">
        <f t="shared" si="88"/>
        <v>-205494.38361755351</v>
      </c>
      <c r="J37" s="124">
        <f t="shared" si="88"/>
        <v>-11082.994838243489</v>
      </c>
      <c r="K37" s="124">
        <f t="shared" si="88"/>
        <v>-5249.4599361030414</v>
      </c>
      <c r="L37" s="124">
        <f t="shared" si="87"/>
        <v>-240610</v>
      </c>
      <c r="M37" s="124">
        <f t="shared" si="87"/>
        <v>-47845.578497943163</v>
      </c>
      <c r="N37" s="124">
        <f t="shared" si="87"/>
        <v>-28946.175710102565</v>
      </c>
      <c r="O37" s="124">
        <f t="shared" si="87"/>
        <v>-76759.96368907328</v>
      </c>
      <c r="P37" s="124">
        <f t="shared" si="87"/>
        <v>-128215.90832927868</v>
      </c>
      <c r="Q37" s="124">
        <f t="shared" si="87"/>
        <v>-281767.6262263977</v>
      </c>
      <c r="R37" s="124">
        <f t="shared" ref="R37:U37" si="89">SUM(R34:R36)</f>
        <v>-22791.74295</v>
      </c>
      <c r="S37" s="124">
        <f t="shared" si="89"/>
        <v>-63979.730279999996</v>
      </c>
      <c r="T37" s="125">
        <f t="shared" si="89"/>
        <v>-53505</v>
      </c>
      <c r="U37" s="124">
        <f t="shared" si="89"/>
        <v>-58143</v>
      </c>
      <c r="V37" s="124">
        <f t="shared" si="87"/>
        <v>-198419.47323</v>
      </c>
      <c r="W37" s="124">
        <f t="shared" ref="W37:Z37" si="90">SUM(W34:W36)</f>
        <v>-35556</v>
      </c>
      <c r="X37" s="125">
        <f t="shared" si="90"/>
        <v>3595.9763649000088</v>
      </c>
      <c r="Y37" s="125">
        <f t="shared" si="90"/>
        <v>-50558</v>
      </c>
      <c r="Z37" s="125">
        <f t="shared" si="90"/>
        <v>-43169.976364900001</v>
      </c>
      <c r="AA37" s="124">
        <f t="shared" si="31"/>
        <v>-125688</v>
      </c>
      <c r="AB37" s="124">
        <f t="shared" ref="AB37:AC37" si="91">SUM(AB34:AB36)</f>
        <v>-91264</v>
      </c>
      <c r="AC37" s="125">
        <f t="shared" si="91"/>
        <v>-98435</v>
      </c>
      <c r="AD37" s="125">
        <f t="shared" ref="AD37:AE37" si="92">SUM(AD34:AD36)</f>
        <v>-112264</v>
      </c>
      <c r="AE37" s="125">
        <f t="shared" si="92"/>
        <v>-132980</v>
      </c>
      <c r="AF37" s="124">
        <f t="shared" si="32"/>
        <v>-434943</v>
      </c>
      <c r="AG37" s="124">
        <f t="shared" ref="AG37:AJ37" si="93">SUM(AG34:AG36)</f>
        <v>-121722</v>
      </c>
      <c r="AH37" s="125">
        <f t="shared" si="93"/>
        <v>-160895</v>
      </c>
      <c r="AI37" s="125">
        <f t="shared" si="93"/>
        <v>-136552</v>
      </c>
      <c r="AJ37" s="125">
        <f t="shared" si="93"/>
        <v>-127884</v>
      </c>
      <c r="AK37" s="124">
        <f t="shared" si="40"/>
        <v>-547053</v>
      </c>
      <c r="AL37" s="124">
        <f t="shared" ref="AL37:AO37" si="94">SUM(AL34:AL36)</f>
        <v>-109324</v>
      </c>
      <c r="AM37" s="125">
        <f t="shared" si="94"/>
        <v>0</v>
      </c>
      <c r="AN37" s="125">
        <f t="shared" si="94"/>
        <v>0</v>
      </c>
      <c r="AO37" s="125">
        <f t="shared" si="94"/>
        <v>0</v>
      </c>
      <c r="AP37" s="124">
        <f t="shared" si="68"/>
        <v>-109324</v>
      </c>
    </row>
    <row r="38" spans="1:42">
      <c r="A38" s="132" t="s">
        <v>96</v>
      </c>
      <c r="B38" s="132" t="s">
        <v>4</v>
      </c>
      <c r="C38" s="124">
        <f t="shared" ref="C38:F38" si="95">SUM(C37,C33)</f>
        <v>620972.24030713842</v>
      </c>
      <c r="D38" s="124">
        <f t="shared" si="95"/>
        <v>463701.43842214503</v>
      </c>
      <c r="E38" s="124">
        <f t="shared" si="95"/>
        <v>-180121.51268745743</v>
      </c>
      <c r="F38" s="124">
        <f t="shared" si="95"/>
        <v>-444330.04074021935</v>
      </c>
      <c r="G38" s="124">
        <f t="shared" ref="G38:V38" si="96">SUM(G37,G33)</f>
        <v>-1237010.3484112367</v>
      </c>
      <c r="H38" s="124">
        <f t="shared" ref="H38:K38" si="97">SUM(H37,H33)</f>
        <v>-82347.086683770132</v>
      </c>
      <c r="I38" s="124">
        <f t="shared" si="97"/>
        <v>-296998.57316867582</v>
      </c>
      <c r="J38" s="124">
        <f t="shared" si="97"/>
        <v>-3345.9149437504529</v>
      </c>
      <c r="K38" s="124">
        <f t="shared" si="97"/>
        <v>-185299.06530392147</v>
      </c>
      <c r="L38" s="124">
        <f t="shared" si="96"/>
        <v>-567990.64010011801</v>
      </c>
      <c r="M38" s="124">
        <f t="shared" si="96"/>
        <v>-126428.91335916605</v>
      </c>
      <c r="N38" s="124">
        <f t="shared" si="96"/>
        <v>-80838.395359601389</v>
      </c>
      <c r="O38" s="124">
        <f t="shared" si="96"/>
        <v>-90127.387127405163</v>
      </c>
      <c r="P38" s="124">
        <f t="shared" si="96"/>
        <v>-183716.53895111324</v>
      </c>
      <c r="Q38" s="124">
        <f t="shared" si="96"/>
        <v>-481111.23479728552</v>
      </c>
      <c r="R38" s="124">
        <f t="shared" ref="R38:U38" si="98">SUM(R37,R33)</f>
        <v>-59305.224499799784</v>
      </c>
      <c r="S38" s="124">
        <f t="shared" si="98"/>
        <v>-29286.560745699891</v>
      </c>
      <c r="T38" s="125">
        <f t="shared" si="98"/>
        <v>109350.08228249979</v>
      </c>
      <c r="U38" s="124">
        <f t="shared" si="98"/>
        <v>-33004.313483961509</v>
      </c>
      <c r="V38" s="124">
        <f t="shared" si="96"/>
        <v>-12246.016446961235</v>
      </c>
      <c r="W38" s="124">
        <f t="shared" ref="W38:Z38" si="99">SUM(W37,W33)</f>
        <v>117681.99201159779</v>
      </c>
      <c r="X38" s="124">
        <f t="shared" si="99"/>
        <v>234706.74051774456</v>
      </c>
      <c r="Y38" s="125">
        <f t="shared" si="99"/>
        <v>82018.375586562965</v>
      </c>
      <c r="Z38" s="125">
        <f t="shared" si="99"/>
        <v>93343.479992099921</v>
      </c>
      <c r="AA38" s="124">
        <f t="shared" si="31"/>
        <v>527750.58810800523</v>
      </c>
      <c r="AB38" s="124">
        <f t="shared" ref="AB38:AC38" si="100">SUM(AB37,AB33)</f>
        <v>-55504</v>
      </c>
      <c r="AC38" s="124">
        <f t="shared" si="100"/>
        <v>43226.648730971385</v>
      </c>
      <c r="AD38" s="125">
        <f t="shared" ref="AD38:AE38" si="101">SUM(AD37,AD33)</f>
        <v>47542.77948997257</v>
      </c>
      <c r="AE38" s="125">
        <f t="shared" si="101"/>
        <v>8126.8648255169101</v>
      </c>
      <c r="AF38" s="124">
        <f t="shared" si="32"/>
        <v>43392.293046460865</v>
      </c>
      <c r="AG38" s="124">
        <f t="shared" ref="AG38:AJ38" si="102">SUM(AG37,AG33)</f>
        <v>-76709.528223693254</v>
      </c>
      <c r="AH38" s="124">
        <f t="shared" si="102"/>
        <v>-121120.58358318736</v>
      </c>
      <c r="AI38" s="125">
        <f t="shared" si="102"/>
        <v>-28921.294907234842</v>
      </c>
      <c r="AJ38" s="125">
        <f t="shared" si="102"/>
        <v>-18206.168042922625</v>
      </c>
      <c r="AK38" s="124">
        <f t="shared" si="40"/>
        <v>-244957.57475703809</v>
      </c>
      <c r="AL38" s="124">
        <f t="shared" ref="AL38:AO38" si="103">SUM(AL37,AL33)</f>
        <v>-44604.519310579737</v>
      </c>
      <c r="AM38" s="124">
        <f t="shared" si="103"/>
        <v>0</v>
      </c>
      <c r="AN38" s="125">
        <f t="shared" si="103"/>
        <v>0</v>
      </c>
      <c r="AO38" s="125">
        <f t="shared" si="103"/>
        <v>0</v>
      </c>
      <c r="AP38" s="124">
        <f t="shared" si="68"/>
        <v>-44604.519310579737</v>
      </c>
    </row>
    <row r="39" spans="1:42">
      <c r="A39" s="126" t="s">
        <v>97</v>
      </c>
      <c r="B39" s="126" t="s">
        <v>4</v>
      </c>
      <c r="C39" s="121">
        <v>-157043.32830927934</v>
      </c>
      <c r="D39" s="121">
        <v>-39977.752977531847</v>
      </c>
      <c r="E39" s="121">
        <v>97618.200386308032</v>
      </c>
      <c r="F39" s="121">
        <v>183726.6704796</v>
      </c>
      <c r="G39" s="121">
        <v>-308028.59588406351</v>
      </c>
      <c r="H39" s="121">
        <v>-4339.9433376000006</v>
      </c>
      <c r="I39" s="121">
        <v>-2858.6748436000371</v>
      </c>
      <c r="J39" s="121">
        <v>-26467.937088799961</v>
      </c>
      <c r="K39" s="121">
        <v>-20999.444730000003</v>
      </c>
      <c r="L39" s="121">
        <f>SUM(H39:K39)</f>
        <v>-54666</v>
      </c>
      <c r="M39" s="121">
        <v>-4280.8353272000004</v>
      </c>
      <c r="N39" s="121">
        <v>-5307.4830345000009</v>
      </c>
      <c r="O39" s="121">
        <v>-18756.144259099994</v>
      </c>
      <c r="P39" s="121">
        <v>28453.462620799997</v>
      </c>
      <c r="Q39" s="121">
        <f>SUM(M39:P39)</f>
        <v>109</v>
      </c>
      <c r="R39" s="121">
        <v>-5149.4252400000005</v>
      </c>
      <c r="S39" s="121">
        <v>-2848</v>
      </c>
      <c r="T39" s="121">
        <v>-3117</v>
      </c>
      <c r="U39" s="121">
        <v>-800.27764999999999</v>
      </c>
      <c r="V39" s="121">
        <f t="shared" si="87"/>
        <v>-431024.48967696121</v>
      </c>
      <c r="W39" s="121">
        <v>618</v>
      </c>
      <c r="X39" s="121">
        <v>-43435</v>
      </c>
      <c r="Y39" s="116">
        <v>-8602</v>
      </c>
      <c r="Z39" s="116">
        <f>786520-SUM(W39:Y39)</f>
        <v>837939</v>
      </c>
      <c r="AA39" s="121">
        <f t="shared" si="31"/>
        <v>786520</v>
      </c>
      <c r="AB39" s="121">
        <v>31114</v>
      </c>
      <c r="AC39" s="121">
        <v>-1587</v>
      </c>
      <c r="AD39" s="116">
        <v>6451</v>
      </c>
      <c r="AE39" s="116">
        <v>-14657</v>
      </c>
      <c r="AF39" s="121">
        <f t="shared" si="32"/>
        <v>21321</v>
      </c>
      <c r="AG39" s="121">
        <v>6245</v>
      </c>
      <c r="AH39" s="121">
        <v>6309</v>
      </c>
      <c r="AI39" s="116">
        <v>6376</v>
      </c>
      <c r="AJ39" s="116">
        <v>-167874</v>
      </c>
      <c r="AK39" s="121">
        <f t="shared" si="40"/>
        <v>-148944</v>
      </c>
      <c r="AL39" s="121">
        <v>-10015</v>
      </c>
      <c r="AM39" s="121"/>
      <c r="AN39" s="116"/>
      <c r="AO39" s="116"/>
      <c r="AP39" s="121">
        <f t="shared" si="68"/>
        <v>-10015</v>
      </c>
    </row>
    <row r="40" spans="1:42">
      <c r="A40" s="132" t="s">
        <v>98</v>
      </c>
      <c r="B40" s="132" t="s">
        <v>4</v>
      </c>
      <c r="C40" s="124">
        <f t="shared" ref="C40:F40" si="104">SUM(C38:C39)</f>
        <v>463928.91199785908</v>
      </c>
      <c r="D40" s="124">
        <f t="shared" si="104"/>
        <v>423723.68544461316</v>
      </c>
      <c r="E40" s="124">
        <f t="shared" si="104"/>
        <v>-82503.312301149403</v>
      </c>
      <c r="F40" s="124">
        <f t="shared" si="104"/>
        <v>-260603.37026061935</v>
      </c>
      <c r="G40" s="124">
        <f t="shared" ref="G40:V40" si="105">SUM(G38:G39)</f>
        <v>-1545038.9442953002</v>
      </c>
      <c r="H40" s="124">
        <f t="shared" ref="H40:K40" si="106">SUM(H38:H39)</f>
        <v>-86687.030021370127</v>
      </c>
      <c r="I40" s="124">
        <f t="shared" si="106"/>
        <v>-299857.24801227584</v>
      </c>
      <c r="J40" s="124">
        <f t="shared" si="106"/>
        <v>-29813.852032550414</v>
      </c>
      <c r="K40" s="124">
        <f t="shared" si="106"/>
        <v>-206298.51003392146</v>
      </c>
      <c r="L40" s="124">
        <f t="shared" si="105"/>
        <v>-622656.64010011801</v>
      </c>
      <c r="M40" s="124">
        <f t="shared" si="105"/>
        <v>-130709.74868636605</v>
      </c>
      <c r="N40" s="124">
        <f t="shared" si="105"/>
        <v>-86145.878394101397</v>
      </c>
      <c r="O40" s="124">
        <f t="shared" si="105"/>
        <v>-108883.53138650516</v>
      </c>
      <c r="P40" s="124">
        <f t="shared" si="105"/>
        <v>-155263.07633031323</v>
      </c>
      <c r="Q40" s="124">
        <f t="shared" si="105"/>
        <v>-481002.23479728552</v>
      </c>
      <c r="R40" s="124">
        <f t="shared" ref="R40:U40" si="107">SUM(R38:R39)</f>
        <v>-64454.649739799788</v>
      </c>
      <c r="S40" s="124">
        <f t="shared" si="107"/>
        <v>-32134.560745699891</v>
      </c>
      <c r="T40" s="124">
        <f t="shared" si="107"/>
        <v>106233.08228249979</v>
      </c>
      <c r="U40" s="124">
        <f t="shared" si="107"/>
        <v>-33804.591133961512</v>
      </c>
      <c r="V40" s="124">
        <f t="shared" si="105"/>
        <v>-443270.50612392242</v>
      </c>
      <c r="W40" s="124">
        <f t="shared" ref="W40:Z40" si="108">SUM(W38:W39)</f>
        <v>118299.99201159779</v>
      </c>
      <c r="X40" s="124">
        <f t="shared" si="108"/>
        <v>191271.74051774456</v>
      </c>
      <c r="Y40" s="124">
        <f t="shared" si="108"/>
        <v>73416.375586562965</v>
      </c>
      <c r="Z40" s="124">
        <f t="shared" si="108"/>
        <v>931282.47999209992</v>
      </c>
      <c r="AA40" s="124">
        <f t="shared" si="31"/>
        <v>1314270.5881080052</v>
      </c>
      <c r="AB40" s="124">
        <f t="shared" ref="AB40:AE40" si="109">SUM(AB38:AB39)</f>
        <v>-24390</v>
      </c>
      <c r="AC40" s="124">
        <f t="shared" si="109"/>
        <v>41639.648730971385</v>
      </c>
      <c r="AD40" s="124">
        <f t="shared" si="109"/>
        <v>53993.77948997257</v>
      </c>
      <c r="AE40" s="124">
        <f t="shared" si="109"/>
        <v>-6530.1351744830899</v>
      </c>
      <c r="AF40" s="124">
        <f t="shared" si="32"/>
        <v>64713.293046460865</v>
      </c>
      <c r="AG40" s="124">
        <f t="shared" ref="AG40:AJ40" si="110">SUM(AG38:AG39)</f>
        <v>-70464.528223693254</v>
      </c>
      <c r="AH40" s="124">
        <f t="shared" si="110"/>
        <v>-114811.58358318736</v>
      </c>
      <c r="AI40" s="124">
        <f t="shared" si="110"/>
        <v>-22545.294907234842</v>
      </c>
      <c r="AJ40" s="124">
        <f t="shared" si="110"/>
        <v>-186080.16804292263</v>
      </c>
      <c r="AK40" s="124">
        <f t="shared" si="40"/>
        <v>-393901.57475703809</v>
      </c>
      <c r="AL40" s="124">
        <f t="shared" ref="AL40:AO40" si="111">SUM(AL38:AL39)</f>
        <v>-54619.519310579737</v>
      </c>
      <c r="AM40" s="124">
        <f t="shared" si="111"/>
        <v>0</v>
      </c>
      <c r="AN40" s="124">
        <f t="shared" si="111"/>
        <v>0</v>
      </c>
      <c r="AO40" s="124">
        <f t="shared" si="111"/>
        <v>0</v>
      </c>
      <c r="AP40" s="124">
        <f t="shared" si="68"/>
        <v>-54619.519310579737</v>
      </c>
    </row>
    <row r="41" spans="1:42">
      <c r="A41" s="100"/>
      <c r="B41" s="96"/>
      <c r="C41" s="96"/>
      <c r="D41" s="96"/>
      <c r="E41" s="103"/>
      <c r="F41" s="96"/>
      <c r="G41" s="104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ignoredErrors>
    <ignoredError sqref="R13:W13 Q16:Q19 Q34:Q39 Q31:Q32 Q21:Q29 L16:L19 L34:L39 R11:W11 R8:W8 R15:W15 R34:S34 R20:U20 W20:W33 R40:W41 R38:U38 W38 R33:U33 T32 R37:W37 V35 V36 R39 V39:W39 V34:W34 R25:U26 R30:U31 R29 R16:T19 V16:W19 V10 R14:V14 L9" formulaRange="1"/>
    <ignoredError sqref="V9 AA7:AA42 AF20:AF31 AF33:AF40 AH12 AK20:AK40" formula="1"/>
    <ignoredError sqref="Q33 Q30 Q20 L20:L33 V20:V33 V38" formula="1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AD144"/>
  <sheetViews>
    <sheetView showGridLines="0" zoomScale="90" zoomScaleNormal="90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AI140" sqref="AI140"/>
    </sheetView>
  </sheetViews>
  <sheetFormatPr defaultColWidth="9.09765625" defaultRowHeight="13" outlineLevelCol="1"/>
  <cols>
    <col min="1" max="1" width="57.3984375" style="98" customWidth="1"/>
    <col min="2" max="6" width="12.59765625" style="98" customWidth="1"/>
    <col min="7" max="10" width="12.69921875" style="98" customWidth="1"/>
    <col min="11" max="14" width="12.69921875" style="98" hidden="1" customWidth="1" outlineLevel="1"/>
    <col min="15" max="15" width="12.69921875" style="98" customWidth="1" collapsed="1"/>
    <col min="16" max="16" width="12.69921875" style="98" hidden="1" customWidth="1" outlineLevel="1"/>
    <col min="17" max="17" width="13.09765625" style="98" hidden="1" customWidth="1" outlineLevel="1"/>
    <col min="18" max="19" width="12.69921875" style="98" hidden="1" customWidth="1" outlineLevel="1"/>
    <col min="20" max="20" width="12.69921875" style="98" bestFit="1" customWidth="1" collapsed="1"/>
    <col min="21" max="21" width="12.69921875" style="98" hidden="1" customWidth="1" outlineLevel="1"/>
    <col min="22" max="22" width="13.09765625" style="98" hidden="1" customWidth="1" outlineLevel="1"/>
    <col min="23" max="24" width="12.69921875" style="98" hidden="1" customWidth="1" outlineLevel="1"/>
    <col min="25" max="25" width="12.69921875" style="98" bestFit="1" customWidth="1" collapsed="1"/>
    <col min="26" max="26" width="12.69921875" style="98" hidden="1" customWidth="1" outlineLevel="1"/>
    <col min="27" max="27" width="13.09765625" style="98" hidden="1" customWidth="1" outlineLevel="1"/>
    <col min="28" max="29" width="12.69921875" style="98" hidden="1" customWidth="1" outlineLevel="1"/>
    <col min="30" max="30" width="12.69921875" style="98" bestFit="1" customWidth="1" collapsed="1"/>
    <col min="31" max="16384" width="9.09765625" style="98"/>
  </cols>
  <sheetData>
    <row r="1" spans="1:30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0">
      <c r="A2" s="96"/>
      <c r="B2" s="96"/>
      <c r="C2" s="96"/>
      <c r="D2" s="1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0">
      <c r="A3" s="96"/>
      <c r="B3" s="96"/>
      <c r="C3" s="103"/>
      <c r="D3" s="103"/>
      <c r="E3" s="96"/>
      <c r="F3" s="96"/>
      <c r="G3" s="96"/>
      <c r="H3" s="96"/>
      <c r="I3" s="96"/>
      <c r="J3" s="96"/>
      <c r="K3" s="101"/>
      <c r="L3" s="101"/>
      <c r="M3" s="101"/>
      <c r="N3" s="101"/>
      <c r="O3" s="96"/>
      <c r="P3" s="101"/>
      <c r="Q3" s="101"/>
      <c r="R3" s="101"/>
      <c r="S3" s="101"/>
      <c r="T3" s="96"/>
      <c r="U3" s="101"/>
      <c r="V3" s="101"/>
      <c r="W3" s="101"/>
      <c r="X3" s="101"/>
      <c r="Y3" s="96"/>
      <c r="Z3" s="101"/>
      <c r="AA3" s="101"/>
      <c r="AB3" s="101"/>
      <c r="AC3" s="101"/>
      <c r="AD3" s="96"/>
    </row>
    <row r="4" spans="1:30">
      <c r="A4" s="96"/>
      <c r="B4" s="96"/>
      <c r="C4" s="103"/>
      <c r="D4" s="10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0">
      <c r="A5" s="150"/>
      <c r="B5" s="151" t="s">
        <v>1</v>
      </c>
      <c r="C5" s="152">
        <v>2013</v>
      </c>
      <c r="D5" s="152">
        <v>2014</v>
      </c>
      <c r="E5" s="152">
        <v>2015</v>
      </c>
      <c r="F5" s="152">
        <v>2016</v>
      </c>
      <c r="G5" s="152">
        <v>2017</v>
      </c>
      <c r="H5" s="152">
        <v>2018</v>
      </c>
      <c r="I5" s="152">
        <v>2019</v>
      </c>
      <c r="J5" s="152">
        <v>2020</v>
      </c>
      <c r="K5" s="153" t="s">
        <v>55</v>
      </c>
      <c r="L5" s="153" t="s">
        <v>185</v>
      </c>
      <c r="M5" s="153" t="s">
        <v>186</v>
      </c>
      <c r="N5" s="153" t="s">
        <v>198</v>
      </c>
      <c r="O5" s="152">
        <v>2021</v>
      </c>
      <c r="P5" s="153" t="s">
        <v>203</v>
      </c>
      <c r="Q5" s="153" t="s">
        <v>204</v>
      </c>
      <c r="R5" s="153" t="s">
        <v>205</v>
      </c>
      <c r="S5" s="153" t="s">
        <v>206</v>
      </c>
      <c r="T5" s="152">
        <v>2022</v>
      </c>
      <c r="U5" s="153" t="s">
        <v>213</v>
      </c>
      <c r="V5" s="153" t="s">
        <v>214</v>
      </c>
      <c r="W5" s="153" t="s">
        <v>215</v>
      </c>
      <c r="X5" s="153" t="s">
        <v>216</v>
      </c>
      <c r="Y5" s="152">
        <v>2023</v>
      </c>
      <c r="Z5" s="153" t="s">
        <v>219</v>
      </c>
      <c r="AA5" s="153" t="s">
        <v>220</v>
      </c>
      <c r="AB5" s="153" t="s">
        <v>221</v>
      </c>
      <c r="AC5" s="153" t="s">
        <v>222</v>
      </c>
      <c r="AD5" s="152">
        <v>2024</v>
      </c>
    </row>
    <row r="6" spans="1:30">
      <c r="A6" s="128" t="s">
        <v>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</row>
    <row r="7" spans="1:30">
      <c r="A7" s="126" t="s">
        <v>102</v>
      </c>
      <c r="B7" s="126" t="s">
        <v>4</v>
      </c>
      <c r="C7" s="121">
        <v>620972.24030713842</v>
      </c>
      <c r="D7" s="121">
        <v>463701.43842214503</v>
      </c>
      <c r="E7" s="121">
        <v>-180121.51268745743</v>
      </c>
      <c r="F7" s="121">
        <v>-444330.04074021935</v>
      </c>
      <c r="G7" s="121">
        <v>-1237010.3484112367</v>
      </c>
      <c r="H7" s="121">
        <v>-567990.64010011801</v>
      </c>
      <c r="I7" s="121">
        <v>-481111.23479728552</v>
      </c>
      <c r="J7" s="121">
        <v>-12247.456777540559</v>
      </c>
      <c r="K7" s="121">
        <v>117681.99201159779</v>
      </c>
      <c r="L7" s="121">
        <f>352389-K7</f>
        <v>234707.00798840221</v>
      </c>
      <c r="M7" s="121">
        <f>434408-K7-L7</f>
        <v>82019</v>
      </c>
      <c r="N7" s="121">
        <f t="shared" ref="N7:N19" si="0">O7</f>
        <v>527751</v>
      </c>
      <c r="O7" s="121">
        <v>527751</v>
      </c>
      <c r="P7" s="121">
        <v>-55504</v>
      </c>
      <c r="Q7" s="121">
        <v>43227</v>
      </c>
      <c r="R7" s="121">
        <v>47543</v>
      </c>
      <c r="S7" s="121">
        <v>43392</v>
      </c>
      <c r="T7" s="121">
        <v>43392</v>
      </c>
      <c r="U7" s="121">
        <v>-76710</v>
      </c>
      <c r="V7" s="121">
        <v>-121120</v>
      </c>
      <c r="W7" s="121">
        <v>-28921</v>
      </c>
      <c r="X7" s="121">
        <v>-18207</v>
      </c>
      <c r="Y7" s="121">
        <f>SUM(U7:X7)</f>
        <v>-244958</v>
      </c>
      <c r="Z7" s="121">
        <v>-44605</v>
      </c>
      <c r="AA7" s="121"/>
      <c r="AB7" s="121"/>
      <c r="AC7" s="121"/>
      <c r="AD7" s="121">
        <f>SUM(Z7:AC7)</f>
        <v>-44605</v>
      </c>
    </row>
    <row r="8" spans="1:30">
      <c r="A8" s="126" t="s">
        <v>103</v>
      </c>
      <c r="B8" s="126" t="s">
        <v>4</v>
      </c>
      <c r="C8" s="121">
        <v>185275</v>
      </c>
      <c r="D8" s="121">
        <v>233585</v>
      </c>
      <c r="E8" s="121">
        <v>239168</v>
      </c>
      <c r="F8" s="121">
        <v>269050</v>
      </c>
      <c r="G8" s="121">
        <v>249810.78658265306</v>
      </c>
      <c r="H8" s="121">
        <v>245025</v>
      </c>
      <c r="I8" s="121">
        <v>251432</v>
      </c>
      <c r="J8" s="121">
        <v>271469</v>
      </c>
      <c r="K8" s="121">
        <v>66238</v>
      </c>
      <c r="L8" s="121">
        <f>121304-K8</f>
        <v>55066</v>
      </c>
      <c r="M8" s="121">
        <f>181178-L8-K8</f>
        <v>59874</v>
      </c>
      <c r="N8" s="121">
        <f t="shared" si="0"/>
        <v>249389</v>
      </c>
      <c r="O8" s="121">
        <v>249389</v>
      </c>
      <c r="P8" s="121">
        <v>72602</v>
      </c>
      <c r="Q8" s="121">
        <v>67360</v>
      </c>
      <c r="R8" s="121">
        <v>65010</v>
      </c>
      <c r="S8" s="121">
        <v>266265</v>
      </c>
      <c r="T8" s="121">
        <v>266265</v>
      </c>
      <c r="U8" s="121">
        <v>70189</v>
      </c>
      <c r="V8" s="121">
        <v>80702</v>
      </c>
      <c r="W8" s="121">
        <v>76684</v>
      </c>
      <c r="X8" s="121">
        <v>58198</v>
      </c>
      <c r="Y8" s="121">
        <f t="shared" ref="Y8:Y58" si="1">SUM(U8:X8)</f>
        <v>285773</v>
      </c>
      <c r="Z8" s="121">
        <v>75631</v>
      </c>
      <c r="AA8" s="121"/>
      <c r="AB8" s="121"/>
      <c r="AC8" s="121"/>
      <c r="AD8" s="121">
        <f t="shared" ref="AD8:AD19" si="2">SUM(Z8:AC8)</f>
        <v>75631</v>
      </c>
    </row>
    <row r="9" spans="1:30">
      <c r="A9" s="126" t="s">
        <v>104</v>
      </c>
      <c r="B9" s="126" t="s">
        <v>4</v>
      </c>
      <c r="C9" s="121">
        <v>0</v>
      </c>
      <c r="D9" s="121">
        <v>0</v>
      </c>
      <c r="E9" s="121">
        <v>0</v>
      </c>
      <c r="F9" s="121">
        <v>0</v>
      </c>
      <c r="G9" s="121">
        <v>0</v>
      </c>
      <c r="H9" s="121">
        <v>0</v>
      </c>
      <c r="I9" s="121">
        <v>92186</v>
      </c>
      <c r="J9" s="121">
        <v>108363</v>
      </c>
      <c r="K9" s="121">
        <v>28836</v>
      </c>
      <c r="L9" s="121">
        <f>57407-K9</f>
        <v>28571</v>
      </c>
      <c r="M9" s="121">
        <f>86004-L9-K9</f>
        <v>28597</v>
      </c>
      <c r="N9" s="121">
        <f t="shared" si="0"/>
        <v>113394</v>
      </c>
      <c r="O9" s="121">
        <v>113394</v>
      </c>
      <c r="P9" s="121">
        <v>26771</v>
      </c>
      <c r="Q9" s="121">
        <v>27946</v>
      </c>
      <c r="R9" s="121">
        <v>25498</v>
      </c>
      <c r="S9" s="121">
        <v>104742</v>
      </c>
      <c r="T9" s="121">
        <v>104742</v>
      </c>
      <c r="U9" s="121">
        <v>24086</v>
      </c>
      <c r="V9" s="121">
        <v>21420</v>
      </c>
      <c r="W9" s="121">
        <v>21553</v>
      </c>
      <c r="X9" s="121">
        <v>21315</v>
      </c>
      <c r="Y9" s="121">
        <f t="shared" si="1"/>
        <v>88374</v>
      </c>
      <c r="Z9" s="121">
        <v>18171</v>
      </c>
      <c r="AA9" s="121"/>
      <c r="AB9" s="121"/>
      <c r="AC9" s="121"/>
      <c r="AD9" s="121">
        <f t="shared" si="2"/>
        <v>18171</v>
      </c>
    </row>
    <row r="10" spans="1:30">
      <c r="A10" s="126" t="s">
        <v>105</v>
      </c>
      <c r="B10" s="126" t="s">
        <v>4</v>
      </c>
      <c r="C10" s="137">
        <v>-36887</v>
      </c>
      <c r="D10" s="137">
        <v>-73270</v>
      </c>
      <c r="E10" s="137">
        <v>-120267</v>
      </c>
      <c r="F10" s="137">
        <v>-110919</v>
      </c>
      <c r="G10" s="137">
        <v>-126775.3577469497</v>
      </c>
      <c r="H10" s="137">
        <v>0</v>
      </c>
      <c r="I10" s="137">
        <v>0</v>
      </c>
      <c r="J10" s="137">
        <v>0</v>
      </c>
      <c r="K10" s="137">
        <v>0</v>
      </c>
      <c r="L10" s="137">
        <v>-101</v>
      </c>
      <c r="M10" s="137">
        <f>-90-L10-K10</f>
        <v>11</v>
      </c>
      <c r="N10" s="137">
        <f t="shared" si="0"/>
        <v>-74</v>
      </c>
      <c r="O10" s="137">
        <v>-74</v>
      </c>
      <c r="P10" s="137">
        <v>-6</v>
      </c>
      <c r="Q10" s="137">
        <v>18</v>
      </c>
      <c r="R10" s="137">
        <v>10</v>
      </c>
      <c r="S10" s="137">
        <v>-17</v>
      </c>
      <c r="T10" s="137">
        <v>-17</v>
      </c>
      <c r="U10" s="137">
        <v>-22</v>
      </c>
      <c r="V10" s="137">
        <v>35</v>
      </c>
      <c r="W10" s="137">
        <v>-29</v>
      </c>
      <c r="X10" s="137">
        <v>-26</v>
      </c>
      <c r="Y10" s="137">
        <f t="shared" si="1"/>
        <v>-42</v>
      </c>
      <c r="Z10" s="137">
        <v>-22</v>
      </c>
      <c r="AA10" s="137"/>
      <c r="AB10" s="137"/>
      <c r="AC10" s="137"/>
      <c r="AD10" s="137">
        <f t="shared" si="2"/>
        <v>-22</v>
      </c>
    </row>
    <row r="11" spans="1:30">
      <c r="A11" s="126" t="s">
        <v>106</v>
      </c>
      <c r="B11" s="126" t="s">
        <v>4</v>
      </c>
      <c r="C11" s="137">
        <v>-33920</v>
      </c>
      <c r="D11" s="137">
        <v>-7463</v>
      </c>
      <c r="E11" s="137">
        <v>11498</v>
      </c>
      <c r="F11" s="137">
        <v>17286</v>
      </c>
      <c r="G11" s="137">
        <v>91628.397519626611</v>
      </c>
      <c r="H11" s="137">
        <v>36472</v>
      </c>
      <c r="I11" s="137">
        <v>-14661</v>
      </c>
      <c r="J11" s="137">
        <v>42084</v>
      </c>
      <c r="K11" s="137">
        <v>1183</v>
      </c>
      <c r="L11" s="137">
        <f>1350-K11</f>
        <v>167</v>
      </c>
      <c r="M11" s="137">
        <f>-6985-L11-K11</f>
        <v>-8335</v>
      </c>
      <c r="N11" s="137">
        <f t="shared" si="0"/>
        <v>17047</v>
      </c>
      <c r="O11" s="137">
        <v>17047</v>
      </c>
      <c r="P11" s="137">
        <v>6804</v>
      </c>
      <c r="Q11" s="137">
        <v>3898</v>
      </c>
      <c r="R11" s="137">
        <v>20526</v>
      </c>
      <c r="S11" s="137">
        <v>32218</v>
      </c>
      <c r="T11" s="137">
        <v>32218</v>
      </c>
      <c r="U11" s="137">
        <v>1743</v>
      </c>
      <c r="V11" s="137">
        <v>10688</v>
      </c>
      <c r="W11" s="137">
        <v>17108</v>
      </c>
      <c r="X11" s="137">
        <v>4264</v>
      </c>
      <c r="Y11" s="137">
        <f t="shared" si="1"/>
        <v>33803</v>
      </c>
      <c r="Z11" s="137">
        <v>21283</v>
      </c>
      <c r="AA11" s="137"/>
      <c r="AB11" s="137"/>
      <c r="AC11" s="137"/>
      <c r="AD11" s="137">
        <f t="shared" si="2"/>
        <v>21283</v>
      </c>
    </row>
    <row r="12" spans="1:30">
      <c r="A12" s="126" t="s">
        <v>107</v>
      </c>
      <c r="B12" s="126" t="s">
        <v>4</v>
      </c>
      <c r="C12" s="137">
        <v>0</v>
      </c>
      <c r="D12" s="121">
        <v>0</v>
      </c>
      <c r="E12" s="121">
        <v>0</v>
      </c>
      <c r="F12" s="137">
        <v>0</v>
      </c>
      <c r="G12" s="121">
        <v>0</v>
      </c>
      <c r="H12" s="137">
        <v>-134642</v>
      </c>
      <c r="I12" s="137">
        <v>7100</v>
      </c>
      <c r="J12" s="137">
        <v>-50999</v>
      </c>
      <c r="K12" s="137">
        <v>-3047</v>
      </c>
      <c r="L12" s="137">
        <f>-103017-K12</f>
        <v>-99970</v>
      </c>
      <c r="M12" s="137">
        <f>-104497-L12-K12</f>
        <v>-1480</v>
      </c>
      <c r="N12" s="137">
        <f t="shared" si="0"/>
        <v>-110854</v>
      </c>
      <c r="O12" s="137">
        <v>-110854</v>
      </c>
      <c r="P12" s="137">
        <v>-5898</v>
      </c>
      <c r="Q12" s="137">
        <v>-3327</v>
      </c>
      <c r="R12" s="137">
        <v>-10328</v>
      </c>
      <c r="S12" s="137">
        <v>-26885</v>
      </c>
      <c r="T12" s="137">
        <v>-26885</v>
      </c>
      <c r="U12" s="137">
        <v>-16736</v>
      </c>
      <c r="V12" s="137">
        <v>30312</v>
      </c>
      <c r="W12" s="137">
        <v>-1089</v>
      </c>
      <c r="X12" s="137">
        <v>-5504</v>
      </c>
      <c r="Y12" s="137">
        <f t="shared" si="1"/>
        <v>6983</v>
      </c>
      <c r="Z12" s="137">
        <v>-2121</v>
      </c>
      <c r="AA12" s="137"/>
      <c r="AB12" s="137"/>
      <c r="AC12" s="137"/>
      <c r="AD12" s="137">
        <f t="shared" si="2"/>
        <v>-2121</v>
      </c>
    </row>
    <row r="13" spans="1:30">
      <c r="A13" s="126" t="s">
        <v>108</v>
      </c>
      <c r="B13" s="126" t="s">
        <v>4</v>
      </c>
      <c r="C13" s="137">
        <v>0</v>
      </c>
      <c r="D13" s="121">
        <v>0</v>
      </c>
      <c r="E13" s="121">
        <v>0</v>
      </c>
      <c r="F13" s="137">
        <v>0</v>
      </c>
      <c r="G13" s="121">
        <v>0</v>
      </c>
      <c r="H13" s="137">
        <v>61182</v>
      </c>
      <c r="I13" s="137">
        <v>22810</v>
      </c>
      <c r="J13" s="137">
        <v>124052</v>
      </c>
      <c r="K13" s="137">
        <v>1354</v>
      </c>
      <c r="L13" s="137">
        <f>1354-K13</f>
        <v>0</v>
      </c>
      <c r="M13" s="137">
        <f>2530-L13-K13</f>
        <v>1176</v>
      </c>
      <c r="N13" s="137">
        <f t="shared" si="0"/>
        <v>23746</v>
      </c>
      <c r="O13" s="137">
        <v>23746</v>
      </c>
      <c r="P13" s="137">
        <v>909</v>
      </c>
      <c r="Q13" s="137">
        <v>1034</v>
      </c>
      <c r="R13" s="137">
        <v>1878</v>
      </c>
      <c r="S13" s="137">
        <v>2992</v>
      </c>
      <c r="T13" s="137">
        <v>2992</v>
      </c>
      <c r="U13" s="137">
        <v>520</v>
      </c>
      <c r="V13" s="137">
        <v>-883</v>
      </c>
      <c r="W13" s="137">
        <v>-1321</v>
      </c>
      <c r="X13" s="137">
        <v>-2729</v>
      </c>
      <c r="Y13" s="137">
        <f t="shared" si="1"/>
        <v>-4413</v>
      </c>
      <c r="Z13" s="137">
        <v>-1457</v>
      </c>
      <c r="AA13" s="137"/>
      <c r="AB13" s="137"/>
      <c r="AC13" s="137"/>
      <c r="AD13" s="137">
        <f t="shared" si="2"/>
        <v>-1457</v>
      </c>
    </row>
    <row r="14" spans="1:30">
      <c r="A14" s="126" t="s">
        <v>202</v>
      </c>
      <c r="B14" s="126" t="s">
        <v>4</v>
      </c>
      <c r="C14" s="137">
        <v>0</v>
      </c>
      <c r="D14" s="121">
        <v>0</v>
      </c>
      <c r="E14" s="121">
        <v>0</v>
      </c>
      <c r="F14" s="137">
        <v>0</v>
      </c>
      <c r="G14" s="121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f t="shared" si="0"/>
        <v>-43100</v>
      </c>
      <c r="O14" s="137">
        <v>-43100</v>
      </c>
      <c r="P14" s="137">
        <v>0</v>
      </c>
      <c r="Q14" s="137"/>
      <c r="R14" s="137">
        <v>-4020.3079500000003</v>
      </c>
      <c r="S14" s="137">
        <v>-4020</v>
      </c>
      <c r="T14" s="137">
        <v>-4020</v>
      </c>
      <c r="U14" s="137">
        <v>0</v>
      </c>
      <c r="V14" s="137">
        <v>-9642.1094000000012</v>
      </c>
      <c r="W14" s="137">
        <v>0</v>
      </c>
      <c r="X14" s="137">
        <v>0</v>
      </c>
      <c r="Y14" s="137">
        <f t="shared" si="1"/>
        <v>-9642.1094000000012</v>
      </c>
      <c r="Z14" s="137">
        <v>0</v>
      </c>
      <c r="AA14" s="137"/>
      <c r="AB14" s="137"/>
      <c r="AC14" s="137"/>
      <c r="AD14" s="137">
        <f t="shared" si="2"/>
        <v>0</v>
      </c>
    </row>
    <row r="15" spans="1:30">
      <c r="A15" s="126" t="s">
        <v>109</v>
      </c>
      <c r="B15" s="126" t="s">
        <v>4</v>
      </c>
      <c r="C15" s="137">
        <v>386161</v>
      </c>
      <c r="D15" s="137">
        <v>407823</v>
      </c>
      <c r="E15" s="137">
        <v>700279</v>
      </c>
      <c r="F15" s="137">
        <v>476160</v>
      </c>
      <c r="G15" s="137">
        <v>295300.80582011753</v>
      </c>
      <c r="H15" s="137">
        <v>200596</v>
      </c>
      <c r="I15" s="137">
        <v>246472</v>
      </c>
      <c r="J15" s="137">
        <v>160980</v>
      </c>
      <c r="K15" s="137">
        <v>32518</v>
      </c>
      <c r="L15" s="137">
        <f>71873-K15</f>
        <v>39355</v>
      </c>
      <c r="M15" s="137">
        <f>131872-L15-K15</f>
        <v>59999</v>
      </c>
      <c r="N15" s="137">
        <f t="shared" si="0"/>
        <v>167023</v>
      </c>
      <c r="O15" s="137">
        <v>167023</v>
      </c>
      <c r="P15" s="137">
        <v>89221</v>
      </c>
      <c r="Q15" s="137">
        <v>104708</v>
      </c>
      <c r="R15" s="137">
        <v>109026</v>
      </c>
      <c r="S15" s="137">
        <v>440219</v>
      </c>
      <c r="T15" s="137">
        <v>440219</v>
      </c>
      <c r="U15" s="137">
        <v>111730</v>
      </c>
      <c r="V15" s="137">
        <v>158169</v>
      </c>
      <c r="W15" s="137">
        <v>120824</v>
      </c>
      <c r="X15" s="137">
        <v>141585</v>
      </c>
      <c r="Y15" s="137">
        <f t="shared" si="1"/>
        <v>532308</v>
      </c>
      <c r="Z15" s="137">
        <v>100009</v>
      </c>
      <c r="AA15" s="137"/>
      <c r="AB15" s="137"/>
      <c r="AC15" s="137"/>
      <c r="AD15" s="137">
        <f t="shared" si="2"/>
        <v>100009</v>
      </c>
    </row>
    <row r="16" spans="1:30">
      <c r="A16" s="126" t="s">
        <v>110</v>
      </c>
      <c r="B16" s="126" t="s">
        <v>4</v>
      </c>
      <c r="C16" s="121">
        <v>-41090</v>
      </c>
      <c r="D16" s="121">
        <v>-34456</v>
      </c>
      <c r="E16" s="121">
        <v>-94902</v>
      </c>
      <c r="F16" s="121">
        <v>-39475</v>
      </c>
      <c r="G16" s="121">
        <v>-32282.06254716371</v>
      </c>
      <c r="H16" s="121">
        <v>-25648</v>
      </c>
      <c r="I16" s="121">
        <v>-41199</v>
      </c>
      <c r="J16" s="121">
        <v>-22548</v>
      </c>
      <c r="K16" s="121">
        <v>-5255</v>
      </c>
      <c r="L16" s="121">
        <f>-13369-K16</f>
        <v>-8114</v>
      </c>
      <c r="M16" s="121">
        <f>-13749-L16-K16</f>
        <v>-380</v>
      </c>
      <c r="N16" s="121">
        <f t="shared" si="0"/>
        <v>-41304</v>
      </c>
      <c r="O16" s="121">
        <v>-41304</v>
      </c>
      <c r="P16" s="121">
        <v>-547</v>
      </c>
      <c r="Q16" s="121">
        <v>-40281</v>
      </c>
      <c r="R16" s="121">
        <v>7063</v>
      </c>
      <c r="S16" s="121">
        <v>-62776</v>
      </c>
      <c r="T16" s="121">
        <v>-62776</v>
      </c>
      <c r="U16" s="121">
        <v>-470</v>
      </c>
      <c r="V16" s="121">
        <v>4784</v>
      </c>
      <c r="W16" s="121">
        <v>1353</v>
      </c>
      <c r="X16" s="121">
        <v>-18064</v>
      </c>
      <c r="Y16" s="121">
        <f t="shared" si="1"/>
        <v>-12397</v>
      </c>
      <c r="Z16" s="121">
        <v>63692</v>
      </c>
      <c r="AA16" s="121"/>
      <c r="AB16" s="121"/>
      <c r="AC16" s="121"/>
      <c r="AD16" s="121">
        <f t="shared" si="2"/>
        <v>63692</v>
      </c>
    </row>
    <row r="17" spans="1:30">
      <c r="A17" s="126" t="s">
        <v>111</v>
      </c>
      <c r="B17" s="126" t="s">
        <v>4</v>
      </c>
      <c r="C17" s="137">
        <v>-2209</v>
      </c>
      <c r="D17" s="137">
        <v>18161</v>
      </c>
      <c r="E17" s="137">
        <v>4809</v>
      </c>
      <c r="F17" s="137">
        <v>2880</v>
      </c>
      <c r="G17" s="137">
        <v>15532</v>
      </c>
      <c r="H17" s="137">
        <v>12937</v>
      </c>
      <c r="I17" s="137">
        <v>92140</v>
      </c>
      <c r="J17" s="137">
        <v>22635</v>
      </c>
      <c r="K17" s="137">
        <v>108</v>
      </c>
      <c r="L17" s="137">
        <f>0-K17</f>
        <v>-108</v>
      </c>
      <c r="M17" s="137">
        <v>0</v>
      </c>
      <c r="N17" s="137">
        <f t="shared" si="0"/>
        <v>24216</v>
      </c>
      <c r="O17" s="137">
        <v>24216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f t="shared" si="1"/>
        <v>0</v>
      </c>
      <c r="Z17" s="137"/>
      <c r="AA17" s="137"/>
      <c r="AB17" s="137"/>
      <c r="AC17" s="137"/>
      <c r="AD17" s="137">
        <f t="shared" si="2"/>
        <v>0</v>
      </c>
    </row>
    <row r="18" spans="1:30">
      <c r="A18" s="126" t="s">
        <v>182</v>
      </c>
      <c r="B18" s="126" t="s">
        <v>4</v>
      </c>
      <c r="C18" s="137">
        <v>0</v>
      </c>
      <c r="D18" s="137">
        <v>-4770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f t="shared" si="0"/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f t="shared" si="1"/>
        <v>0</v>
      </c>
      <c r="Z18" s="137"/>
      <c r="AA18" s="137"/>
      <c r="AB18" s="137"/>
      <c r="AC18" s="137"/>
      <c r="AD18" s="137">
        <f t="shared" si="2"/>
        <v>0</v>
      </c>
    </row>
    <row r="19" spans="1:30">
      <c r="A19" s="126" t="s">
        <v>112</v>
      </c>
      <c r="B19" s="126" t="s">
        <v>4</v>
      </c>
      <c r="C19" s="137">
        <v>0</v>
      </c>
      <c r="D19" s="137">
        <v>0</v>
      </c>
      <c r="E19" s="137">
        <v>0</v>
      </c>
      <c r="F19" s="137">
        <v>0</v>
      </c>
      <c r="G19" s="137">
        <v>711080.92221379827</v>
      </c>
      <c r="H19" s="137">
        <v>166013</v>
      </c>
      <c r="I19" s="137">
        <v>-27618</v>
      </c>
      <c r="J19" s="137">
        <v>-81876</v>
      </c>
      <c r="K19" s="137">
        <v>-6789</v>
      </c>
      <c r="L19" s="137">
        <f>-1071-K19</f>
        <v>5718</v>
      </c>
      <c r="M19" s="137">
        <f>14119-L19-K19</f>
        <v>15190</v>
      </c>
      <c r="N19" s="137">
        <f t="shared" si="0"/>
        <v>-28352</v>
      </c>
      <c r="O19" s="137">
        <v>-28352</v>
      </c>
      <c r="P19" s="137">
        <v>4150</v>
      </c>
      <c r="Q19" s="137">
        <v>-4791</v>
      </c>
      <c r="R19" s="137">
        <v>3839</v>
      </c>
      <c r="S19" s="137">
        <v>6022</v>
      </c>
      <c r="T19" s="137">
        <v>6022</v>
      </c>
      <c r="U19" s="137">
        <v>4491</v>
      </c>
      <c r="V19" s="137">
        <v>5721</v>
      </c>
      <c r="W19" s="137">
        <v>4861</v>
      </c>
      <c r="X19" s="137">
        <v>-13520</v>
      </c>
      <c r="Y19" s="137">
        <f t="shared" si="1"/>
        <v>1553</v>
      </c>
      <c r="Z19" s="137">
        <v>-68518</v>
      </c>
      <c r="AA19" s="137"/>
      <c r="AB19" s="137"/>
      <c r="AC19" s="137"/>
      <c r="AD19" s="137">
        <f t="shared" si="2"/>
        <v>-68518</v>
      </c>
    </row>
    <row r="20" spans="1:30">
      <c r="A20" s="126" t="s">
        <v>191</v>
      </c>
      <c r="B20" s="126" t="s">
        <v>4</v>
      </c>
      <c r="C20" s="137">
        <f>SUM(C21:C31)</f>
        <v>-148074</v>
      </c>
      <c r="D20" s="137">
        <f t="shared" ref="D20:N20" si="3">SUM(D21:D31)</f>
        <v>-82638</v>
      </c>
      <c r="E20" s="137">
        <f t="shared" si="3"/>
        <v>-71800</v>
      </c>
      <c r="F20" s="137">
        <f t="shared" si="3"/>
        <v>16197</v>
      </c>
      <c r="G20" s="137">
        <f t="shared" si="3"/>
        <v>300181.76154287707</v>
      </c>
      <c r="H20" s="137">
        <f t="shared" si="3"/>
        <v>-15162</v>
      </c>
      <c r="I20" s="137">
        <f t="shared" si="3"/>
        <v>-36204</v>
      </c>
      <c r="J20" s="137">
        <f t="shared" si="3"/>
        <v>199262</v>
      </c>
      <c r="K20" s="137">
        <f t="shared" si="3"/>
        <v>-71598</v>
      </c>
      <c r="L20" s="137">
        <f t="shared" si="3"/>
        <v>-146010</v>
      </c>
      <c r="M20" s="137">
        <f t="shared" si="3"/>
        <v>-13407</v>
      </c>
      <c r="N20" s="137">
        <f t="shared" si="3"/>
        <v>-8172</v>
      </c>
      <c r="O20" s="137">
        <f>SUM(O21:O31)</f>
        <v>-8172</v>
      </c>
      <c r="P20" s="137">
        <f>SUM(P21:P31)</f>
        <v>-83456</v>
      </c>
      <c r="Q20" s="137">
        <f>SUM(Q21:Q31)</f>
        <v>143308</v>
      </c>
      <c r="R20" s="137">
        <f>SUM(R21:R31)</f>
        <v>-33275</v>
      </c>
      <c r="S20" s="137">
        <f>SUM(S21:S31)</f>
        <v>384919</v>
      </c>
      <c r="T20" s="137">
        <v>384919</v>
      </c>
      <c r="U20" s="137">
        <f t="shared" ref="U20:AD20" si="4">SUM(U21:U31)</f>
        <v>-381481</v>
      </c>
      <c r="V20" s="137">
        <f t="shared" si="4"/>
        <v>16514</v>
      </c>
      <c r="W20" s="137">
        <f t="shared" si="4"/>
        <v>48638</v>
      </c>
      <c r="X20" s="137">
        <f t="shared" si="4"/>
        <v>93095</v>
      </c>
      <c r="Y20" s="137">
        <f t="shared" si="4"/>
        <v>-223234</v>
      </c>
      <c r="Z20" s="137">
        <f t="shared" si="4"/>
        <v>-314829</v>
      </c>
      <c r="AA20" s="137">
        <f t="shared" si="4"/>
        <v>0</v>
      </c>
      <c r="AB20" s="137">
        <f t="shared" si="4"/>
        <v>0</v>
      </c>
      <c r="AC20" s="137">
        <f t="shared" si="4"/>
        <v>0</v>
      </c>
      <c r="AD20" s="137">
        <f t="shared" si="4"/>
        <v>-314829</v>
      </c>
    </row>
    <row r="21" spans="1:30">
      <c r="A21" s="135" t="s">
        <v>193</v>
      </c>
      <c r="B21" s="126" t="s">
        <v>4</v>
      </c>
      <c r="C21" s="137">
        <v>-9993</v>
      </c>
      <c r="D21" s="137">
        <v>9439</v>
      </c>
      <c r="E21" s="137">
        <v>-2679</v>
      </c>
      <c r="F21" s="137">
        <v>-16150</v>
      </c>
      <c r="G21" s="137">
        <v>11510.92096109064</v>
      </c>
      <c r="H21" s="137">
        <v>-54581</v>
      </c>
      <c r="I21" s="137">
        <v>-5160</v>
      </c>
      <c r="J21" s="137">
        <v>-61474</v>
      </c>
      <c r="K21" s="137">
        <v>23807</v>
      </c>
      <c r="L21" s="137">
        <f>17374-K21</f>
        <v>-6433</v>
      </c>
      <c r="M21" s="137">
        <f>23116-L21-K21</f>
        <v>5742</v>
      </c>
      <c r="N21" s="137">
        <f t="shared" ref="N21:N32" si="5">O21</f>
        <v>22098</v>
      </c>
      <c r="O21" s="137">
        <v>22098</v>
      </c>
      <c r="P21" s="137">
        <v>-5902</v>
      </c>
      <c r="Q21" s="137">
        <v>-2170</v>
      </c>
      <c r="R21" s="137">
        <v>-6313</v>
      </c>
      <c r="S21" s="137">
        <v>19705</v>
      </c>
      <c r="T21" s="137">
        <v>19705</v>
      </c>
      <c r="U21" s="137">
        <v>-1946</v>
      </c>
      <c r="V21" s="137">
        <v>-5440</v>
      </c>
      <c r="W21" s="137">
        <v>1726</v>
      </c>
      <c r="X21" s="137">
        <v>-901</v>
      </c>
      <c r="Y21" s="137">
        <f t="shared" si="1"/>
        <v>-6561</v>
      </c>
      <c r="Z21" s="137">
        <v>5550</v>
      </c>
      <c r="AA21" s="137"/>
      <c r="AB21" s="137"/>
      <c r="AC21" s="137"/>
      <c r="AD21" s="137">
        <f t="shared" ref="AD21:AD35" si="6">SUM(Z21:AC21)</f>
        <v>5550</v>
      </c>
    </row>
    <row r="22" spans="1:30">
      <c r="A22" s="135" t="s">
        <v>114</v>
      </c>
      <c r="B22" s="126" t="s">
        <v>4</v>
      </c>
      <c r="C22" s="121">
        <v>-65187</v>
      </c>
      <c r="D22" s="121">
        <v>71292</v>
      </c>
      <c r="E22" s="121">
        <v>26461</v>
      </c>
      <c r="F22" s="121">
        <v>-11591</v>
      </c>
      <c r="G22" s="121">
        <v>95869.608437629548</v>
      </c>
      <c r="H22" s="121">
        <v>-14455</v>
      </c>
      <c r="I22" s="121">
        <v>-2942</v>
      </c>
      <c r="J22" s="121">
        <v>-106953</v>
      </c>
      <c r="K22" s="121">
        <v>-42481</v>
      </c>
      <c r="L22" s="121">
        <f>-69379-K22</f>
        <v>-26898</v>
      </c>
      <c r="M22" s="121">
        <f>-73988-L22-K22</f>
        <v>-4609</v>
      </c>
      <c r="N22" s="121">
        <f t="shared" si="5"/>
        <v>-15805</v>
      </c>
      <c r="O22" s="121">
        <v>-15805</v>
      </c>
      <c r="P22" s="121">
        <v>-60310</v>
      </c>
      <c r="Q22" s="121">
        <v>-28753</v>
      </c>
      <c r="R22" s="121">
        <v>-10166</v>
      </c>
      <c r="S22" s="121">
        <v>138661</v>
      </c>
      <c r="T22" s="121">
        <v>138661</v>
      </c>
      <c r="U22" s="121">
        <v>-172473</v>
      </c>
      <c r="V22" s="121">
        <v>5264</v>
      </c>
      <c r="W22" s="121">
        <v>-80500</v>
      </c>
      <c r="X22" s="121">
        <v>146499</v>
      </c>
      <c r="Y22" s="137">
        <f t="shared" si="1"/>
        <v>-101210</v>
      </c>
      <c r="Z22" s="121">
        <v>-107134</v>
      </c>
      <c r="AA22" s="121"/>
      <c r="AB22" s="121"/>
      <c r="AC22" s="121"/>
      <c r="AD22" s="137">
        <f t="shared" si="6"/>
        <v>-107134</v>
      </c>
    </row>
    <row r="23" spans="1:30">
      <c r="A23" s="135" t="s">
        <v>115</v>
      </c>
      <c r="B23" s="126" t="s">
        <v>4</v>
      </c>
      <c r="C23" s="137">
        <v>-12413</v>
      </c>
      <c r="D23" s="137">
        <v>-43133</v>
      </c>
      <c r="E23" s="137">
        <v>18733</v>
      </c>
      <c r="F23" s="137">
        <v>85753</v>
      </c>
      <c r="G23" s="137">
        <v>-20937.776461813693</v>
      </c>
      <c r="H23" s="137">
        <v>-68853</v>
      </c>
      <c r="I23" s="137">
        <v>42415</v>
      </c>
      <c r="J23" s="137">
        <v>-89405</v>
      </c>
      <c r="K23" s="137">
        <v>-55001</v>
      </c>
      <c r="L23" s="137">
        <f>-111032-K23</f>
        <v>-56031</v>
      </c>
      <c r="M23" s="137">
        <f>-128268-L23-K23</f>
        <v>-17236</v>
      </c>
      <c r="N23" s="137">
        <f t="shared" si="5"/>
        <v>-74560</v>
      </c>
      <c r="O23" s="137">
        <v>-74560</v>
      </c>
      <c r="P23" s="137">
        <v>-2132</v>
      </c>
      <c r="Q23" s="137">
        <v>22203</v>
      </c>
      <c r="R23" s="137">
        <v>-58888</v>
      </c>
      <c r="S23" s="137">
        <v>-78617</v>
      </c>
      <c r="T23" s="137">
        <v>-78617</v>
      </c>
      <c r="U23" s="137">
        <v>5132</v>
      </c>
      <c r="V23" s="137">
        <v>34610</v>
      </c>
      <c r="W23" s="137">
        <v>39529</v>
      </c>
      <c r="X23" s="137">
        <v>-3894</v>
      </c>
      <c r="Y23" s="137">
        <f t="shared" si="1"/>
        <v>75377</v>
      </c>
      <c r="Z23" s="137">
        <v>-11184</v>
      </c>
      <c r="AA23" s="137"/>
      <c r="AB23" s="137"/>
      <c r="AC23" s="137"/>
      <c r="AD23" s="137">
        <f t="shared" si="6"/>
        <v>-11184</v>
      </c>
    </row>
    <row r="24" spans="1:30">
      <c r="A24" s="135" t="s">
        <v>39</v>
      </c>
      <c r="B24" s="126" t="s">
        <v>4</v>
      </c>
      <c r="C24" s="121">
        <v>-90086</v>
      </c>
      <c r="D24" s="121">
        <v>-9189</v>
      </c>
      <c r="E24" s="121">
        <v>28609</v>
      </c>
      <c r="F24" s="121">
        <v>21665</v>
      </c>
      <c r="G24" s="121">
        <v>75279.516192411131</v>
      </c>
      <c r="H24" s="121">
        <v>-5292</v>
      </c>
      <c r="I24" s="121">
        <v>59403</v>
      </c>
      <c r="J24" s="121">
        <v>190864</v>
      </c>
      <c r="K24" s="121">
        <v>-4236</v>
      </c>
      <c r="L24" s="121">
        <f>-361-K24</f>
        <v>3875</v>
      </c>
      <c r="M24" s="121">
        <f>-5151-L24-K24</f>
        <v>-4790</v>
      </c>
      <c r="N24" s="121">
        <f t="shared" si="5"/>
        <v>8143</v>
      </c>
      <c r="O24" s="121">
        <v>8143</v>
      </c>
      <c r="P24" s="121">
        <v>-5942</v>
      </c>
      <c r="Q24" s="121">
        <v>4281</v>
      </c>
      <c r="R24" s="121">
        <v>-17664</v>
      </c>
      <c r="S24" s="121">
        <v>-12053</v>
      </c>
      <c r="T24" s="121">
        <v>-12053</v>
      </c>
      <c r="U24" s="121">
        <v>-6419</v>
      </c>
      <c r="V24" s="121">
        <v>8897</v>
      </c>
      <c r="W24" s="121">
        <v>61900</v>
      </c>
      <c r="X24" s="121">
        <v>7435</v>
      </c>
      <c r="Y24" s="137">
        <f t="shared" si="1"/>
        <v>71813</v>
      </c>
      <c r="Z24" s="121">
        <v>1725</v>
      </c>
      <c r="AA24" s="121"/>
      <c r="AB24" s="121"/>
      <c r="AC24" s="121"/>
      <c r="AD24" s="137">
        <f t="shared" si="6"/>
        <v>1725</v>
      </c>
    </row>
    <row r="25" spans="1:30">
      <c r="A25" s="135" t="s">
        <v>211</v>
      </c>
      <c r="B25" s="126" t="s">
        <v>4</v>
      </c>
      <c r="C25" s="137">
        <v>-1091</v>
      </c>
      <c r="D25" s="137">
        <v>-83694</v>
      </c>
      <c r="E25" s="137">
        <v>-76024</v>
      </c>
      <c r="F25" s="121">
        <v>-11203</v>
      </c>
      <c r="G25" s="137">
        <v>102691.21207639172</v>
      </c>
      <c r="H25" s="121">
        <v>3047</v>
      </c>
      <c r="I25" s="121">
        <v>-8914</v>
      </c>
      <c r="J25" s="121">
        <v>14499</v>
      </c>
      <c r="K25" s="121">
        <v>964</v>
      </c>
      <c r="L25" s="121">
        <f>-43484-K25</f>
        <v>-44448</v>
      </c>
      <c r="M25" s="121">
        <f>-37221-L25-K25</f>
        <v>6263</v>
      </c>
      <c r="N25" s="121">
        <f t="shared" si="5"/>
        <v>-42107</v>
      </c>
      <c r="O25" s="121">
        <v>-42107</v>
      </c>
      <c r="P25" s="121">
        <v>-8217</v>
      </c>
      <c r="Q25" s="121">
        <v>26465</v>
      </c>
      <c r="R25" s="121">
        <v>-23416</v>
      </c>
      <c r="S25" s="121">
        <v>39280</v>
      </c>
      <c r="T25" s="121">
        <v>39280</v>
      </c>
      <c r="U25" s="121">
        <v>6663</v>
      </c>
      <c r="V25" s="121">
        <v>3504</v>
      </c>
      <c r="W25" s="121">
        <v>3360</v>
      </c>
      <c r="X25" s="121">
        <v>-5465</v>
      </c>
      <c r="Y25" s="137">
        <f t="shared" si="1"/>
        <v>8062</v>
      </c>
      <c r="Z25" s="121">
        <v>-2987</v>
      </c>
      <c r="AA25" s="121"/>
      <c r="AB25" s="121"/>
      <c r="AC25" s="121"/>
      <c r="AD25" s="137">
        <f t="shared" si="6"/>
        <v>-2987</v>
      </c>
    </row>
    <row r="26" spans="1:30">
      <c r="A26" s="135" t="s">
        <v>192</v>
      </c>
      <c r="B26" s="126" t="s">
        <v>4</v>
      </c>
      <c r="C26" s="121">
        <v>7115</v>
      </c>
      <c r="D26" s="121">
        <v>16016</v>
      </c>
      <c r="E26" s="121">
        <v>-33597</v>
      </c>
      <c r="F26" s="121">
        <v>9031</v>
      </c>
      <c r="G26" s="121">
        <v>23221.037222061794</v>
      </c>
      <c r="H26" s="121">
        <v>117711</v>
      </c>
      <c r="I26" s="121">
        <v>-102779</v>
      </c>
      <c r="J26" s="121">
        <v>52409</v>
      </c>
      <c r="K26" s="121">
        <v>3818</v>
      </c>
      <c r="L26" s="121">
        <f>-6597-K26</f>
        <v>-10415</v>
      </c>
      <c r="M26" s="121">
        <f>-2578-L26-K26</f>
        <v>4019</v>
      </c>
      <c r="N26" s="121">
        <f t="shared" si="5"/>
        <v>-2655</v>
      </c>
      <c r="O26" s="121">
        <v>-2655</v>
      </c>
      <c r="P26" s="121">
        <v>-3123</v>
      </c>
      <c r="Q26" s="121">
        <v>-1054</v>
      </c>
      <c r="R26" s="121">
        <v>-61</v>
      </c>
      <c r="S26" s="121">
        <v>49013</v>
      </c>
      <c r="T26" s="121">
        <v>49013</v>
      </c>
      <c r="U26" s="121">
        <v>-512</v>
      </c>
      <c r="V26" s="121">
        <v>-8056</v>
      </c>
      <c r="W26" s="121">
        <v>9038</v>
      </c>
      <c r="X26" s="121">
        <v>22196</v>
      </c>
      <c r="Y26" s="137">
        <f t="shared" si="1"/>
        <v>22666</v>
      </c>
      <c r="Z26" s="121">
        <v>-25613</v>
      </c>
      <c r="AA26" s="121"/>
      <c r="AB26" s="121"/>
      <c r="AC26" s="121"/>
      <c r="AD26" s="137">
        <f t="shared" si="6"/>
        <v>-25613</v>
      </c>
    </row>
    <row r="27" spans="1:30">
      <c r="A27" s="135" t="s">
        <v>16</v>
      </c>
      <c r="B27" s="126" t="s">
        <v>4</v>
      </c>
      <c r="C27" s="121">
        <v>44536</v>
      </c>
      <c r="D27" s="121">
        <v>-69254</v>
      </c>
      <c r="E27" s="121">
        <v>-23861</v>
      </c>
      <c r="F27" s="121">
        <v>-60169</v>
      </c>
      <c r="G27" s="121">
        <v>40362.95317792477</v>
      </c>
      <c r="H27" s="121">
        <v>-18815</v>
      </c>
      <c r="I27" s="121">
        <v>15967</v>
      </c>
      <c r="J27" s="121">
        <v>144030</v>
      </c>
      <c r="K27" s="121">
        <v>-4797</v>
      </c>
      <c r="L27" s="121">
        <f>29453-K27</f>
        <v>34250</v>
      </c>
      <c r="M27" s="121">
        <f>54621-L27-K27</f>
        <v>25168</v>
      </c>
      <c r="N27" s="121">
        <f t="shared" si="5"/>
        <v>190469</v>
      </c>
      <c r="O27" s="121">
        <v>190469</v>
      </c>
      <c r="P27" s="121">
        <v>-13434</v>
      </c>
      <c r="Q27" s="121">
        <v>38940</v>
      </c>
      <c r="R27" s="121">
        <v>48392</v>
      </c>
      <c r="S27" s="121">
        <v>127829</v>
      </c>
      <c r="T27" s="121">
        <v>127829</v>
      </c>
      <c r="U27" s="121">
        <v>-232726</v>
      </c>
      <c r="V27" s="121">
        <v>-2011</v>
      </c>
      <c r="W27" s="121">
        <v>-17233</v>
      </c>
      <c r="X27" s="121">
        <v>-57230</v>
      </c>
      <c r="Y27" s="137">
        <f t="shared" si="1"/>
        <v>-309200</v>
      </c>
      <c r="Z27" s="121">
        <v>-129991</v>
      </c>
      <c r="AA27" s="121"/>
      <c r="AB27" s="121"/>
      <c r="AC27" s="121"/>
      <c r="AD27" s="137">
        <f t="shared" si="6"/>
        <v>-129991</v>
      </c>
    </row>
    <row r="28" spans="1:30">
      <c r="A28" s="135" t="s">
        <v>118</v>
      </c>
      <c r="B28" s="126" t="s">
        <v>4</v>
      </c>
      <c r="C28" s="121">
        <v>9074</v>
      </c>
      <c r="D28" s="121">
        <v>3415</v>
      </c>
      <c r="E28" s="121">
        <v>-4067</v>
      </c>
      <c r="F28" s="121">
        <v>-14595</v>
      </c>
      <c r="G28" s="121">
        <v>-585.48133640535764</v>
      </c>
      <c r="H28" s="121">
        <v>-2680</v>
      </c>
      <c r="I28" s="121">
        <v>-3584</v>
      </c>
      <c r="J28" s="121">
        <v>25704</v>
      </c>
      <c r="K28" s="121">
        <v>2292</v>
      </c>
      <c r="L28" s="121">
        <f>-21595-K28</f>
        <v>-23887</v>
      </c>
      <c r="M28" s="121">
        <f>-9213-L28-K28</f>
        <v>12382</v>
      </c>
      <c r="N28" s="121">
        <f t="shared" si="5"/>
        <v>-5113</v>
      </c>
      <c r="O28" s="121">
        <v>-5113</v>
      </c>
      <c r="P28" s="121">
        <v>8999</v>
      </c>
      <c r="Q28" s="121">
        <v>-16294</v>
      </c>
      <c r="R28" s="121">
        <v>12500</v>
      </c>
      <c r="S28" s="121">
        <v>111025</v>
      </c>
      <c r="T28" s="121">
        <v>111025</v>
      </c>
      <c r="U28" s="121">
        <v>18896</v>
      </c>
      <c r="V28" s="121">
        <v>-24725</v>
      </c>
      <c r="W28" s="121">
        <v>9569</v>
      </c>
      <c r="X28" s="121">
        <v>-11213</v>
      </c>
      <c r="Y28" s="137">
        <f t="shared" si="1"/>
        <v>-7473</v>
      </c>
      <c r="Z28" s="121">
        <v>-2839</v>
      </c>
      <c r="AA28" s="121"/>
      <c r="AB28" s="121"/>
      <c r="AC28" s="121"/>
      <c r="AD28" s="137">
        <f t="shared" si="6"/>
        <v>-2839</v>
      </c>
    </row>
    <row r="29" spans="1:30">
      <c r="A29" s="135" t="s">
        <v>119</v>
      </c>
      <c r="B29" s="126" t="s">
        <v>4</v>
      </c>
      <c r="C29" s="121">
        <v>-32737</v>
      </c>
      <c r="D29" s="121">
        <v>67927</v>
      </c>
      <c r="E29" s="121">
        <v>3761</v>
      </c>
      <c r="F29" s="121">
        <v>5799</v>
      </c>
      <c r="G29" s="121">
        <v>73903.494748977653</v>
      </c>
      <c r="H29" s="121">
        <v>47548</v>
      </c>
      <c r="I29" s="121">
        <v>-19905</v>
      </c>
      <c r="J29" s="121">
        <v>-19341</v>
      </c>
      <c r="K29" s="121">
        <v>-5445</v>
      </c>
      <c r="L29" s="121">
        <f>-2455-K29</f>
        <v>2990</v>
      </c>
      <c r="M29" s="121">
        <f>-5443-K29-L29</f>
        <v>-2988</v>
      </c>
      <c r="N29" s="121">
        <f t="shared" si="5"/>
        <v>-7705</v>
      </c>
      <c r="O29" s="121">
        <v>-7705</v>
      </c>
      <c r="P29" s="121">
        <v>10708</v>
      </c>
      <c r="Q29" s="121">
        <v>113117</v>
      </c>
      <c r="R29" s="121">
        <v>218</v>
      </c>
      <c r="S29" s="121">
        <v>-3234</v>
      </c>
      <c r="T29" s="121">
        <v>-3234</v>
      </c>
      <c r="U29" s="121">
        <v>2839</v>
      </c>
      <c r="V29" s="121">
        <v>-2851</v>
      </c>
      <c r="W29" s="121">
        <v>4871</v>
      </c>
      <c r="X29" s="121">
        <v>590</v>
      </c>
      <c r="Y29" s="137">
        <f t="shared" si="1"/>
        <v>5449</v>
      </c>
      <c r="Z29" s="121">
        <v>-28228</v>
      </c>
      <c r="AA29" s="121"/>
      <c r="AB29" s="121"/>
      <c r="AC29" s="121"/>
      <c r="AD29" s="137">
        <f t="shared" si="6"/>
        <v>-28228</v>
      </c>
    </row>
    <row r="30" spans="1:30">
      <c r="A30" s="135" t="s">
        <v>201</v>
      </c>
      <c r="B30" s="126" t="s">
        <v>4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v>-6689</v>
      </c>
      <c r="I30" s="121">
        <v>-11997</v>
      </c>
      <c r="J30" s="121">
        <v>-5536</v>
      </c>
      <c r="K30" s="121">
        <v>0</v>
      </c>
      <c r="L30" s="121">
        <f>-7538+7171</f>
        <v>-367</v>
      </c>
      <c r="M30" s="121">
        <f>-25216-K30-L30</f>
        <v>-24849</v>
      </c>
      <c r="N30" s="121">
        <f t="shared" si="5"/>
        <v>-32792</v>
      </c>
      <c r="O30" s="121">
        <v>-32792</v>
      </c>
      <c r="P30" s="121">
        <v>0</v>
      </c>
      <c r="Q30" s="121">
        <v>0</v>
      </c>
      <c r="R30" s="121">
        <v>0</v>
      </c>
      <c r="S30" s="121">
        <v>8966</v>
      </c>
      <c r="T30" s="121">
        <v>8966</v>
      </c>
      <c r="U30" s="121">
        <v>0</v>
      </c>
      <c r="V30" s="121">
        <v>0</v>
      </c>
      <c r="W30" s="121">
        <v>0</v>
      </c>
      <c r="X30" s="121">
        <v>0</v>
      </c>
      <c r="Y30" s="137">
        <f t="shared" si="1"/>
        <v>0</v>
      </c>
      <c r="Z30" s="121"/>
      <c r="AA30" s="121"/>
      <c r="AB30" s="121"/>
      <c r="AC30" s="121"/>
      <c r="AD30" s="137">
        <f t="shared" si="6"/>
        <v>0</v>
      </c>
    </row>
    <row r="31" spans="1:30">
      <c r="A31" s="135" t="s">
        <v>120</v>
      </c>
      <c r="B31" s="126" t="s">
        <v>4</v>
      </c>
      <c r="C31" s="121">
        <v>2708</v>
      </c>
      <c r="D31" s="121">
        <v>-45457</v>
      </c>
      <c r="E31" s="121">
        <v>-9136</v>
      </c>
      <c r="F31" s="143">
        <v>7657</v>
      </c>
      <c r="G31" s="121">
        <v>-101133.72347539107</v>
      </c>
      <c r="H31" s="143">
        <v>-12103</v>
      </c>
      <c r="I31" s="143">
        <v>1292</v>
      </c>
      <c r="J31" s="121">
        <v>54465</v>
      </c>
      <c r="K31" s="121">
        <v>9481</v>
      </c>
      <c r="L31" s="121">
        <f>-9165-K31</f>
        <v>-18646</v>
      </c>
      <c r="M31" s="121">
        <f>-21674-L31-K31</f>
        <v>-12509</v>
      </c>
      <c r="N31" s="121">
        <f t="shared" si="5"/>
        <v>-48145</v>
      </c>
      <c r="O31" s="121">
        <v>-48145</v>
      </c>
      <c r="P31" s="121">
        <v>-4103</v>
      </c>
      <c r="Q31" s="121">
        <v>-13427</v>
      </c>
      <c r="R31" s="121">
        <v>22123</v>
      </c>
      <c r="S31" s="121">
        <v>-15656</v>
      </c>
      <c r="T31" s="121">
        <v>-15656</v>
      </c>
      <c r="U31" s="121">
        <v>-935</v>
      </c>
      <c r="V31" s="121">
        <v>7322</v>
      </c>
      <c r="W31" s="121">
        <v>16378</v>
      </c>
      <c r="X31" s="121">
        <v>-4922</v>
      </c>
      <c r="Y31" s="137">
        <f t="shared" si="1"/>
        <v>17843</v>
      </c>
      <c r="Z31" s="121">
        <v>-14128</v>
      </c>
      <c r="AA31" s="121"/>
      <c r="AB31" s="121"/>
      <c r="AC31" s="121"/>
      <c r="AD31" s="137">
        <f t="shared" si="6"/>
        <v>-14128</v>
      </c>
    </row>
    <row r="32" spans="1:30">
      <c r="A32" s="154" t="s">
        <v>8</v>
      </c>
      <c r="B32" s="126" t="s">
        <v>4</v>
      </c>
      <c r="C32" s="121">
        <v>-52325</v>
      </c>
      <c r="D32" s="121">
        <v>-18678</v>
      </c>
      <c r="E32" s="121">
        <v>-735</v>
      </c>
      <c r="F32" s="121">
        <v>0</v>
      </c>
      <c r="G32" s="121">
        <v>-41820.522434027414</v>
      </c>
      <c r="H32" s="121">
        <v>-6390</v>
      </c>
      <c r="I32" s="121">
        <v>-6027</v>
      </c>
      <c r="J32" s="121">
        <v>-6429</v>
      </c>
      <c r="K32" s="121">
        <v>-1560</v>
      </c>
      <c r="L32" s="121">
        <f>-1560-K32</f>
        <v>0</v>
      </c>
      <c r="M32" s="121">
        <f>-39488-K32-L32</f>
        <v>-37928</v>
      </c>
      <c r="N32" s="121">
        <f t="shared" si="5"/>
        <v>-50432</v>
      </c>
      <c r="O32" s="121">
        <v>-50432</v>
      </c>
      <c r="P32" s="121">
        <v>-1996</v>
      </c>
      <c r="Q32" s="121">
        <v>-2009</v>
      </c>
      <c r="R32" s="121">
        <v>-2209</v>
      </c>
      <c r="S32" s="121">
        <v>-8399</v>
      </c>
      <c r="T32" s="121">
        <v>-8399</v>
      </c>
      <c r="U32" s="121">
        <v>-1917</v>
      </c>
      <c r="V32" s="121">
        <v>-1529</v>
      </c>
      <c r="W32" s="121">
        <v>-1663</v>
      </c>
      <c r="X32" s="121">
        <v>-2084</v>
      </c>
      <c r="Y32" s="137">
        <f t="shared" si="1"/>
        <v>-7193</v>
      </c>
      <c r="Z32" s="121">
        <v>-1855</v>
      </c>
      <c r="AA32" s="121"/>
      <c r="AB32" s="121"/>
      <c r="AC32" s="121"/>
      <c r="AD32" s="137">
        <f t="shared" si="6"/>
        <v>-1855</v>
      </c>
    </row>
    <row r="33" spans="1:30">
      <c r="A33" s="154" t="s">
        <v>122</v>
      </c>
      <c r="B33" s="126" t="s">
        <v>4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-7171</v>
      </c>
      <c r="L33" s="121">
        <v>0</v>
      </c>
      <c r="M33" s="121">
        <v>0</v>
      </c>
      <c r="N33" s="121">
        <v>0</v>
      </c>
      <c r="O33" s="121">
        <v>0</v>
      </c>
      <c r="P33" s="121">
        <v>-5632</v>
      </c>
      <c r="Q33" s="121">
        <v>-7326</v>
      </c>
      <c r="R33" s="121">
        <v>-5356</v>
      </c>
      <c r="S33" s="121">
        <v>-25681</v>
      </c>
      <c r="T33" s="121">
        <v>-25681</v>
      </c>
      <c r="U33" s="121">
        <v>-3883</v>
      </c>
      <c r="V33" s="121">
        <v>-4247</v>
      </c>
      <c r="W33" s="121">
        <v>-3797</v>
      </c>
      <c r="X33" s="121">
        <v>-2755</v>
      </c>
      <c r="Y33" s="137">
        <f t="shared" si="1"/>
        <v>-14682</v>
      </c>
      <c r="Z33" s="121">
        <v>-2358</v>
      </c>
      <c r="AA33" s="121"/>
      <c r="AB33" s="121"/>
      <c r="AC33" s="121"/>
      <c r="AD33" s="137">
        <f t="shared" si="6"/>
        <v>-2358</v>
      </c>
    </row>
    <row r="34" spans="1:30">
      <c r="A34" s="154" t="s">
        <v>217</v>
      </c>
      <c r="B34" s="126" t="s">
        <v>4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10465</v>
      </c>
      <c r="V34" s="121">
        <v>15000</v>
      </c>
      <c r="W34" s="121">
        <v>-3579</v>
      </c>
      <c r="X34" s="121">
        <v>0</v>
      </c>
      <c r="Y34" s="137">
        <f t="shared" si="1"/>
        <v>21886</v>
      </c>
      <c r="Z34" s="121">
        <v>26756</v>
      </c>
      <c r="AA34" s="121"/>
      <c r="AB34" s="121"/>
      <c r="AC34" s="121"/>
      <c r="AD34" s="137">
        <f t="shared" si="6"/>
        <v>26756</v>
      </c>
    </row>
    <row r="35" spans="1:30">
      <c r="A35" s="154" t="s">
        <v>212</v>
      </c>
      <c r="B35" s="126" t="s">
        <v>4</v>
      </c>
      <c r="C35" s="121">
        <v>-226499</v>
      </c>
      <c r="D35" s="121">
        <v>-340039</v>
      </c>
      <c r="E35" s="121">
        <v>-424419</v>
      </c>
      <c r="F35" s="121">
        <v>-482270</v>
      </c>
      <c r="G35" s="121">
        <v>-428641.74087847333</v>
      </c>
      <c r="H35" s="121">
        <v>-192321</v>
      </c>
      <c r="I35" s="121">
        <v>-168645</v>
      </c>
      <c r="J35" s="121">
        <v>-120188</v>
      </c>
      <c r="K35" s="121">
        <v>-4903</v>
      </c>
      <c r="L35" s="121">
        <f>-55923-K35</f>
        <v>-51020</v>
      </c>
      <c r="M35" s="121">
        <f>-56172-K35-L35</f>
        <v>-249</v>
      </c>
      <c r="N35" s="121">
        <f>O35</f>
        <v>-154226</v>
      </c>
      <c r="O35" s="121">
        <v>-154226</v>
      </c>
      <c r="P35" s="121">
        <v>-206</v>
      </c>
      <c r="Q35" s="121">
        <v>-194864</v>
      </c>
      <c r="R35" s="121">
        <v>-171</v>
      </c>
      <c r="S35" s="121">
        <v>-421939</v>
      </c>
      <c r="T35" s="121">
        <v>-421939</v>
      </c>
      <c r="U35" s="121">
        <v>-4786</v>
      </c>
      <c r="V35" s="121">
        <v>-4852</v>
      </c>
      <c r="W35" s="121">
        <v>-4887</v>
      </c>
      <c r="X35" s="121">
        <v>-4440</v>
      </c>
      <c r="Y35" s="137">
        <f t="shared" si="1"/>
        <v>-18965</v>
      </c>
      <c r="Z35" s="121">
        <v>-1344</v>
      </c>
      <c r="AA35" s="121"/>
      <c r="AB35" s="121"/>
      <c r="AC35" s="121"/>
      <c r="AD35" s="137">
        <f t="shared" si="6"/>
        <v>-1344</v>
      </c>
    </row>
    <row r="36" spans="1:30">
      <c r="A36" s="132" t="s">
        <v>123</v>
      </c>
      <c r="B36" s="132" t="s">
        <v>4</v>
      </c>
      <c r="C36" s="124">
        <f>SUM(C7:C20,C32:C35)</f>
        <v>651404.2403071383</v>
      </c>
      <c r="D36" s="124">
        <f t="shared" ref="D36:N36" si="7">SUM(D7:D20,D32:D35)</f>
        <v>561956.43842214509</v>
      </c>
      <c r="E36" s="124">
        <f t="shared" si="7"/>
        <v>63509.487312542507</v>
      </c>
      <c r="F36" s="124">
        <f t="shared" si="7"/>
        <v>-295421.04074021935</v>
      </c>
      <c r="G36" s="124">
        <f t="shared" si="7"/>
        <v>-202995.35833877831</v>
      </c>
      <c r="H36" s="124">
        <f t="shared" si="7"/>
        <v>-219928.64010011801</v>
      </c>
      <c r="I36" s="124">
        <f t="shared" si="7"/>
        <v>-63325.23479728552</v>
      </c>
      <c r="J36" s="124">
        <f t="shared" si="7"/>
        <v>634557.5432224595</v>
      </c>
      <c r="K36" s="124">
        <f t="shared" si="7"/>
        <v>147595.99201159779</v>
      </c>
      <c r="L36" s="124">
        <f t="shared" si="7"/>
        <v>58261.007988402213</v>
      </c>
      <c r="M36" s="124">
        <f t="shared" si="7"/>
        <v>185087</v>
      </c>
      <c r="N36" s="124">
        <f t="shared" si="7"/>
        <v>686052</v>
      </c>
      <c r="O36" s="124">
        <f>SUM(O7:O20,O32:O35)</f>
        <v>686052</v>
      </c>
      <c r="P36" s="124">
        <f t="shared" ref="P36:S36" si="8">SUM(P7:P20,P32:P35)</f>
        <v>47212</v>
      </c>
      <c r="Q36" s="124">
        <f t="shared" si="8"/>
        <v>138901</v>
      </c>
      <c r="R36" s="124">
        <f t="shared" si="8"/>
        <v>225033.69205000001</v>
      </c>
      <c r="S36" s="124">
        <f t="shared" si="8"/>
        <v>731052</v>
      </c>
      <c r="T36" s="124">
        <v>731052</v>
      </c>
      <c r="U36" s="124">
        <f t="shared" ref="U36:Y36" si="9">SUM(U7:U20,U32:U35)</f>
        <v>-262781</v>
      </c>
      <c r="V36" s="124">
        <f t="shared" si="9"/>
        <v>201071.89059999998</v>
      </c>
      <c r="W36" s="124">
        <f t="shared" si="9"/>
        <v>245735</v>
      </c>
      <c r="X36" s="124">
        <f t="shared" si="9"/>
        <v>251128</v>
      </c>
      <c r="Y36" s="124">
        <f t="shared" si="9"/>
        <v>435153.89060000004</v>
      </c>
      <c r="Z36" s="124">
        <f t="shared" ref="Z36:AD36" si="10">SUM(Z7:Z20,Z32:Z35)</f>
        <v>-131567</v>
      </c>
      <c r="AA36" s="124">
        <f t="shared" si="10"/>
        <v>0</v>
      </c>
      <c r="AB36" s="124">
        <f t="shared" si="10"/>
        <v>0</v>
      </c>
      <c r="AC36" s="124">
        <f t="shared" si="10"/>
        <v>0</v>
      </c>
      <c r="AD36" s="124">
        <f t="shared" si="10"/>
        <v>-131567</v>
      </c>
    </row>
    <row r="37" spans="1:30">
      <c r="A37" s="126" t="s">
        <v>124</v>
      </c>
      <c r="B37" s="126" t="s">
        <v>4</v>
      </c>
      <c r="C37" s="121">
        <v>-79159</v>
      </c>
      <c r="D37" s="121">
        <v>-68991</v>
      </c>
      <c r="E37" s="121">
        <v>171322</v>
      </c>
      <c r="F37" s="121">
        <v>-47224</v>
      </c>
      <c r="G37" s="121">
        <v>46402</v>
      </c>
      <c r="H37" s="121">
        <v>120748</v>
      </c>
      <c r="I37" s="121">
        <v>-1053</v>
      </c>
      <c r="J37" s="121">
        <v>456</v>
      </c>
      <c r="K37" s="121">
        <v>499</v>
      </c>
      <c r="L37" s="121">
        <f>-256-K37</f>
        <v>-755</v>
      </c>
      <c r="M37" s="121">
        <f>-903-K37-L37</f>
        <v>-647</v>
      </c>
      <c r="N37" s="121">
        <f t="shared" ref="N37:N43" si="11">O37</f>
        <v>142</v>
      </c>
      <c r="O37" s="121">
        <v>142</v>
      </c>
      <c r="P37" s="121">
        <v>-498</v>
      </c>
      <c r="Q37" s="121">
        <v>-30543</v>
      </c>
      <c r="R37" s="121">
        <v>-394</v>
      </c>
      <c r="S37" s="121">
        <v>-32464</v>
      </c>
      <c r="T37" s="121">
        <v>-32464</v>
      </c>
      <c r="U37" s="121">
        <v>-1079</v>
      </c>
      <c r="V37" s="121">
        <v>-1079</v>
      </c>
      <c r="W37" s="121">
        <v>-1140</v>
      </c>
      <c r="X37" s="121">
        <v>-1365</v>
      </c>
      <c r="Y37" s="137">
        <f t="shared" si="1"/>
        <v>-4663</v>
      </c>
      <c r="Z37" s="121">
        <v>36539</v>
      </c>
      <c r="AA37" s="121"/>
      <c r="AB37" s="121"/>
      <c r="AC37" s="121"/>
      <c r="AD37" s="137">
        <f t="shared" ref="AD37:AD42" si="12">SUM(Z37:AC37)</f>
        <v>36539</v>
      </c>
    </row>
    <row r="38" spans="1:30">
      <c r="A38" s="126" t="s">
        <v>125</v>
      </c>
      <c r="B38" s="126" t="s">
        <v>4</v>
      </c>
      <c r="C38" s="121">
        <v>-562682</v>
      </c>
      <c r="D38" s="121">
        <v>-395741</v>
      </c>
      <c r="E38" s="121">
        <v>-144323</v>
      </c>
      <c r="F38" s="121">
        <v>-141738</v>
      </c>
      <c r="G38" s="121">
        <v>-136450.31838943914</v>
      </c>
      <c r="H38" s="121">
        <v>-166412</v>
      </c>
      <c r="I38" s="121">
        <v>-212387</v>
      </c>
      <c r="J38" s="121">
        <v>-200426</v>
      </c>
      <c r="K38" s="121">
        <v>-56638</v>
      </c>
      <c r="L38" s="121">
        <f>-130509-K38</f>
        <v>-73871</v>
      </c>
      <c r="M38" s="121">
        <f>-180009-K38-L38</f>
        <v>-49500</v>
      </c>
      <c r="N38" s="121">
        <f t="shared" si="11"/>
        <v>-249708</v>
      </c>
      <c r="O38" s="121">
        <v>-249708</v>
      </c>
      <c r="P38" s="121">
        <v>-16089</v>
      </c>
      <c r="Q38" s="121">
        <v>-96452</v>
      </c>
      <c r="R38" s="121">
        <v>-81539</v>
      </c>
      <c r="S38" s="121">
        <v>-273527</v>
      </c>
      <c r="T38" s="121">
        <v>-273527</v>
      </c>
      <c r="U38" s="121">
        <v>-44662</v>
      </c>
      <c r="V38" s="121">
        <v>-115100</v>
      </c>
      <c r="W38" s="121">
        <v>-77521</v>
      </c>
      <c r="X38" s="121">
        <v>-44082</v>
      </c>
      <c r="Y38" s="137">
        <f t="shared" si="1"/>
        <v>-281365</v>
      </c>
      <c r="Z38" s="121">
        <v>-59984</v>
      </c>
      <c r="AA38" s="121"/>
      <c r="AB38" s="121"/>
      <c r="AC38" s="121"/>
      <c r="AD38" s="137">
        <f t="shared" si="12"/>
        <v>-59984</v>
      </c>
    </row>
    <row r="39" spans="1:30">
      <c r="A39" s="126" t="s">
        <v>126</v>
      </c>
      <c r="B39" s="126" t="s">
        <v>4</v>
      </c>
      <c r="C39" s="121">
        <v>-11697</v>
      </c>
      <c r="D39" s="121">
        <v>-664</v>
      </c>
      <c r="E39" s="121">
        <v>-7450</v>
      </c>
      <c r="F39" s="121">
        <v>-945</v>
      </c>
      <c r="G39" s="121">
        <v>-21388.47566604516</v>
      </c>
      <c r="H39" s="121">
        <v>-13293</v>
      </c>
      <c r="I39" s="121">
        <v>-12360</v>
      </c>
      <c r="J39" s="121">
        <v>-12691</v>
      </c>
      <c r="K39" s="121">
        <v>-2473</v>
      </c>
      <c r="L39" s="121">
        <f>-11179-K39</f>
        <v>-8706</v>
      </c>
      <c r="M39" s="121">
        <f>-15796-L39-K39</f>
        <v>-4617</v>
      </c>
      <c r="N39" s="121">
        <f t="shared" si="11"/>
        <v>-28417</v>
      </c>
      <c r="O39" s="121">
        <v>-28417</v>
      </c>
      <c r="P39" s="121">
        <v>-5835</v>
      </c>
      <c r="Q39" s="121">
        <v>-8436</v>
      </c>
      <c r="R39" s="121">
        <v>-4824</v>
      </c>
      <c r="S39" s="121">
        <v>-28119</v>
      </c>
      <c r="T39" s="121">
        <v>-28119</v>
      </c>
      <c r="U39" s="121">
        <v>-4926</v>
      </c>
      <c r="V39" s="121">
        <v>-11925</v>
      </c>
      <c r="W39" s="121">
        <v>-11071</v>
      </c>
      <c r="X39" s="121">
        <v>-10201</v>
      </c>
      <c r="Y39" s="137">
        <f t="shared" si="1"/>
        <v>-38123</v>
      </c>
      <c r="Z39" s="121">
        <v>-9048</v>
      </c>
      <c r="AA39" s="121"/>
      <c r="AB39" s="121"/>
      <c r="AC39" s="121"/>
      <c r="AD39" s="137">
        <f t="shared" si="12"/>
        <v>-9048</v>
      </c>
    </row>
    <row r="40" spans="1:30">
      <c r="A40" s="126" t="s">
        <v>127</v>
      </c>
      <c r="B40" s="126" t="s">
        <v>4</v>
      </c>
      <c r="C40" s="121">
        <v>-7622</v>
      </c>
      <c r="D40" s="121">
        <v>-16210</v>
      </c>
      <c r="E40" s="121">
        <v>-432</v>
      </c>
      <c r="F40" s="121">
        <v>0</v>
      </c>
      <c r="G40" s="121">
        <v>-48782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/>
      <c r="N40" s="121">
        <f t="shared" si="11"/>
        <v>0</v>
      </c>
      <c r="O40" s="121">
        <v>0</v>
      </c>
      <c r="P40" s="121">
        <v>0</v>
      </c>
      <c r="Q40" s="121"/>
      <c r="R40" s="121"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v>0</v>
      </c>
      <c r="X40" s="121">
        <v>0</v>
      </c>
      <c r="Y40" s="137">
        <f t="shared" si="1"/>
        <v>0</v>
      </c>
      <c r="Z40" s="121"/>
      <c r="AA40" s="121"/>
      <c r="AB40" s="121"/>
      <c r="AC40" s="121"/>
      <c r="AD40" s="137">
        <f t="shared" si="12"/>
        <v>0</v>
      </c>
    </row>
    <row r="41" spans="1:30">
      <c r="A41" s="126" t="s">
        <v>128</v>
      </c>
      <c r="B41" s="126" t="s">
        <v>4</v>
      </c>
      <c r="C41" s="121">
        <v>10973</v>
      </c>
      <c r="D41" s="121">
        <v>17035</v>
      </c>
      <c r="E41" s="121">
        <v>114630</v>
      </c>
      <c r="F41" s="121">
        <v>18248</v>
      </c>
      <c r="G41" s="121">
        <v>5031.7962878911276</v>
      </c>
      <c r="H41" s="121">
        <v>5845</v>
      </c>
      <c r="I41" s="121">
        <v>13559</v>
      </c>
      <c r="J41" s="121">
        <v>12586</v>
      </c>
      <c r="K41" s="121">
        <v>2976</v>
      </c>
      <c r="L41" s="121">
        <f>31247-K41</f>
        <v>28271</v>
      </c>
      <c r="M41" s="121">
        <f>34926-L41-K41</f>
        <v>3679</v>
      </c>
      <c r="N41" s="121">
        <f t="shared" si="11"/>
        <v>42234</v>
      </c>
      <c r="O41" s="121">
        <v>42234</v>
      </c>
      <c r="P41" s="121">
        <v>6906</v>
      </c>
      <c r="Q41" s="121">
        <v>31530</v>
      </c>
      <c r="R41" s="121">
        <v>16850</v>
      </c>
      <c r="S41" s="121">
        <v>64153</v>
      </c>
      <c r="T41" s="121">
        <v>64153</v>
      </c>
      <c r="U41" s="121">
        <v>2727</v>
      </c>
      <c r="V41" s="121">
        <v>7417</v>
      </c>
      <c r="W41" s="121">
        <v>2325</v>
      </c>
      <c r="X41" s="121">
        <v>47521</v>
      </c>
      <c r="Y41" s="137">
        <f t="shared" si="1"/>
        <v>59990</v>
      </c>
      <c r="Z41" s="121">
        <v>22090</v>
      </c>
      <c r="AA41" s="121"/>
      <c r="AB41" s="121"/>
      <c r="AC41" s="121"/>
      <c r="AD41" s="137">
        <f t="shared" si="12"/>
        <v>22090</v>
      </c>
    </row>
    <row r="42" spans="1:30">
      <c r="A42" s="126" t="s">
        <v>195</v>
      </c>
      <c r="B42" s="126" t="s">
        <v>4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-992622</v>
      </c>
      <c r="N42" s="121">
        <f t="shared" si="11"/>
        <v>-992622</v>
      </c>
      <c r="O42" s="121">
        <v>-992622</v>
      </c>
      <c r="P42" s="121">
        <v>-30945</v>
      </c>
      <c r="Q42" s="121">
        <v>-20000</v>
      </c>
      <c r="R42" s="121">
        <v>-47480</v>
      </c>
      <c r="S42" s="121">
        <v>-98425</v>
      </c>
      <c r="T42" s="121">
        <v>-98425</v>
      </c>
      <c r="U42" s="121">
        <v>-96575</v>
      </c>
      <c r="V42" s="121">
        <v>0</v>
      </c>
      <c r="W42" s="121">
        <v>0</v>
      </c>
      <c r="X42" s="121">
        <v>-40000</v>
      </c>
      <c r="Y42" s="137">
        <f t="shared" si="1"/>
        <v>-136575</v>
      </c>
      <c r="Z42" s="121">
        <v>0</v>
      </c>
      <c r="AA42" s="121"/>
      <c r="AB42" s="121"/>
      <c r="AC42" s="121"/>
      <c r="AD42" s="137">
        <f t="shared" si="12"/>
        <v>0</v>
      </c>
    </row>
    <row r="43" spans="1:30">
      <c r="A43" s="132" t="s">
        <v>129</v>
      </c>
      <c r="B43" s="132" t="s">
        <v>4</v>
      </c>
      <c r="C43" s="124">
        <f>SUM(C37:C42)</f>
        <v>-650187</v>
      </c>
      <c r="D43" s="124">
        <f t="shared" ref="D43:J43" si="13">SUM(D37:D42)</f>
        <v>-464571</v>
      </c>
      <c r="E43" s="124">
        <f t="shared" si="13"/>
        <v>133747</v>
      </c>
      <c r="F43" s="124">
        <f t="shared" si="13"/>
        <v>-171659</v>
      </c>
      <c r="G43" s="124">
        <f t="shared" si="13"/>
        <v>-155186.99776759316</v>
      </c>
      <c r="H43" s="124">
        <f t="shared" si="13"/>
        <v>-53112</v>
      </c>
      <c r="I43" s="124">
        <f t="shared" si="13"/>
        <v>-212241</v>
      </c>
      <c r="J43" s="124">
        <f t="shared" si="13"/>
        <v>-200075</v>
      </c>
      <c r="K43" s="124">
        <f t="shared" ref="K43" si="14">SUM(K37:K42)</f>
        <v>-55636</v>
      </c>
      <c r="L43" s="124">
        <f t="shared" ref="L43" si="15">SUM(L37:L42)</f>
        <v>-55061</v>
      </c>
      <c r="M43" s="124">
        <f t="shared" ref="M43" si="16">SUM(M37:M42)</f>
        <v>-1043707</v>
      </c>
      <c r="N43" s="124">
        <f t="shared" si="11"/>
        <v>-1228371</v>
      </c>
      <c r="O43" s="124">
        <f t="shared" ref="O43:Q43" si="17">SUM(O37:O42)</f>
        <v>-1228371</v>
      </c>
      <c r="P43" s="124">
        <f t="shared" si="17"/>
        <v>-46461</v>
      </c>
      <c r="Q43" s="124">
        <f t="shared" si="17"/>
        <v>-123901</v>
      </c>
      <c r="R43" s="124">
        <f>SUM(R37:R42)</f>
        <v>-117387</v>
      </c>
      <c r="S43" s="124">
        <f>SUM(S37:S42)</f>
        <v>-368382</v>
      </c>
      <c r="T43" s="124">
        <v>-368382</v>
      </c>
      <c r="U43" s="124">
        <f t="shared" ref="U43:V43" si="18">SUM(U37:U42)</f>
        <v>-144515</v>
      </c>
      <c r="V43" s="124">
        <f t="shared" si="18"/>
        <v>-120687</v>
      </c>
      <c r="W43" s="124">
        <f>SUM(W37:W42)</f>
        <v>-87407</v>
      </c>
      <c r="X43" s="124">
        <f>SUM(X37:X42)</f>
        <v>-48127</v>
      </c>
      <c r="Y43" s="124">
        <f>SUM(Y37:Y42)</f>
        <v>-400736</v>
      </c>
      <c r="Z43" s="124">
        <f t="shared" ref="Z43:AA43" si="19">SUM(Z37:Z42)</f>
        <v>-10403</v>
      </c>
      <c r="AA43" s="124">
        <f t="shared" si="19"/>
        <v>0</v>
      </c>
      <c r="AB43" s="124">
        <f>SUM(AB37:AB42)</f>
        <v>0</v>
      </c>
      <c r="AC43" s="124">
        <f>SUM(AC37:AC42)</f>
        <v>0</v>
      </c>
      <c r="AD43" s="124">
        <f>SUM(AD37:AD42)</f>
        <v>-10403</v>
      </c>
    </row>
    <row r="44" spans="1:30">
      <c r="A44" s="126" t="s">
        <v>177</v>
      </c>
      <c r="B44" s="126" t="s">
        <v>4</v>
      </c>
      <c r="C44" s="121">
        <v>0</v>
      </c>
      <c r="D44" s="121">
        <v>1274</v>
      </c>
      <c r="E44" s="121">
        <v>0</v>
      </c>
      <c r="F44" s="121">
        <v>0</v>
      </c>
      <c r="G44" s="121">
        <v>12.309778354327136</v>
      </c>
      <c r="H44" s="121">
        <v>62629</v>
      </c>
      <c r="I44" s="121">
        <v>900000</v>
      </c>
      <c r="J44" s="121">
        <v>466</v>
      </c>
      <c r="K44" s="121">
        <v>0</v>
      </c>
      <c r="L44" s="121">
        <v>0</v>
      </c>
      <c r="M44" s="121"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v>0</v>
      </c>
      <c r="X44" s="121">
        <v>0</v>
      </c>
      <c r="Y44" s="137">
        <f t="shared" si="1"/>
        <v>0</v>
      </c>
      <c r="Z44" s="121"/>
      <c r="AA44" s="121"/>
      <c r="AB44" s="121"/>
      <c r="AC44" s="121"/>
      <c r="AD44" s="137">
        <f t="shared" ref="AD44:AD58" si="20">SUM(Z44:AC44)</f>
        <v>0</v>
      </c>
    </row>
    <row r="45" spans="1:30">
      <c r="A45" s="126" t="s">
        <v>181</v>
      </c>
      <c r="B45" s="126" t="s">
        <v>4</v>
      </c>
      <c r="C45" s="121">
        <v>1109456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v>0</v>
      </c>
      <c r="X45" s="121">
        <v>0</v>
      </c>
      <c r="Y45" s="137">
        <f t="shared" si="1"/>
        <v>0</v>
      </c>
      <c r="Z45" s="121"/>
      <c r="AA45" s="121"/>
      <c r="AB45" s="121"/>
      <c r="AC45" s="121"/>
      <c r="AD45" s="137">
        <f t="shared" si="20"/>
        <v>0</v>
      </c>
    </row>
    <row r="46" spans="1:30">
      <c r="A46" s="126" t="s">
        <v>130</v>
      </c>
      <c r="B46" s="126" t="s">
        <v>4</v>
      </c>
      <c r="C46" s="121">
        <v>-167053</v>
      </c>
      <c r="D46" s="121">
        <v>-375849</v>
      </c>
      <c r="E46" s="121">
        <v>-178032</v>
      </c>
      <c r="F46" s="121">
        <v>-228456</v>
      </c>
      <c r="G46" s="121">
        <v>-595660.63465425314</v>
      </c>
      <c r="H46" s="121">
        <v>-354876</v>
      </c>
      <c r="I46" s="121">
        <v>-234323</v>
      </c>
      <c r="J46" s="121">
        <v>-1875498</v>
      </c>
      <c r="K46" s="121">
        <v>-3166</v>
      </c>
      <c r="L46" s="121">
        <f>-6123-K46</f>
        <v>-2957</v>
      </c>
      <c r="M46" s="121">
        <f>-8786-K46-L46</f>
        <v>-2663</v>
      </c>
      <c r="N46" s="121">
        <f>O46</f>
        <v>-13854</v>
      </c>
      <c r="O46" s="121">
        <v>-13854</v>
      </c>
      <c r="P46" s="121">
        <v>-2664</v>
      </c>
      <c r="Q46" s="121">
        <v>-2665</v>
      </c>
      <c r="R46" s="121">
        <v>-3271</v>
      </c>
      <c r="S46" s="121">
        <v>-40854</v>
      </c>
      <c r="T46" s="121">
        <v>-40854</v>
      </c>
      <c r="U46" s="121">
        <v>-13515</v>
      </c>
      <c r="V46" s="121">
        <v>-13599</v>
      </c>
      <c r="W46" s="121">
        <v>-13712</v>
      </c>
      <c r="X46" s="121">
        <v>-9638</v>
      </c>
      <c r="Y46" s="137">
        <f t="shared" si="1"/>
        <v>-50464</v>
      </c>
      <c r="Z46" s="121">
        <v>-38023</v>
      </c>
      <c r="AA46" s="121"/>
      <c r="AB46" s="121"/>
      <c r="AC46" s="121"/>
      <c r="AD46" s="137">
        <f t="shared" si="20"/>
        <v>-38023</v>
      </c>
    </row>
    <row r="47" spans="1:30">
      <c r="A47" s="126" t="s">
        <v>171</v>
      </c>
      <c r="B47" s="126" t="s">
        <v>4</v>
      </c>
      <c r="C47" s="121">
        <v>0</v>
      </c>
      <c r="D47" s="121">
        <v>0</v>
      </c>
      <c r="E47" s="121">
        <v>78124</v>
      </c>
      <c r="F47" s="121">
        <v>266477</v>
      </c>
      <c r="G47" s="121">
        <v>290000</v>
      </c>
      <c r="H47" s="121">
        <v>49136</v>
      </c>
      <c r="I47" s="121">
        <v>0</v>
      </c>
      <c r="J47" s="121">
        <v>0</v>
      </c>
      <c r="K47" s="121">
        <v>0</v>
      </c>
      <c r="L47" s="121">
        <v>0</v>
      </c>
      <c r="M47" s="121"/>
      <c r="N47" s="121"/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v>0</v>
      </c>
      <c r="X47" s="121">
        <v>0</v>
      </c>
      <c r="Y47" s="137">
        <f t="shared" si="1"/>
        <v>0</v>
      </c>
      <c r="Z47" s="121"/>
      <c r="AA47" s="121"/>
      <c r="AB47" s="121"/>
      <c r="AC47" s="121"/>
      <c r="AD47" s="137">
        <f t="shared" si="20"/>
        <v>0</v>
      </c>
    </row>
    <row r="48" spans="1:30">
      <c r="A48" s="126" t="s">
        <v>172</v>
      </c>
      <c r="B48" s="126" t="s">
        <v>4</v>
      </c>
      <c r="C48" s="121">
        <v>0</v>
      </c>
      <c r="D48" s="121">
        <v>0</v>
      </c>
      <c r="E48" s="121">
        <v>0</v>
      </c>
      <c r="F48" s="121">
        <v>0</v>
      </c>
      <c r="G48" s="121">
        <v>371153</v>
      </c>
      <c r="H48" s="121">
        <v>550</v>
      </c>
      <c r="I48" s="121">
        <v>0</v>
      </c>
      <c r="J48" s="121">
        <v>0</v>
      </c>
      <c r="K48" s="121">
        <v>0</v>
      </c>
      <c r="L48" s="121">
        <v>0</v>
      </c>
      <c r="M48" s="121"/>
      <c r="N48" s="121"/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v>0</v>
      </c>
      <c r="X48" s="121">
        <v>0</v>
      </c>
      <c r="Y48" s="137">
        <f t="shared" si="1"/>
        <v>0</v>
      </c>
      <c r="Z48" s="121"/>
      <c r="AA48" s="121"/>
      <c r="AB48" s="121"/>
      <c r="AC48" s="121"/>
      <c r="AD48" s="137">
        <f t="shared" si="20"/>
        <v>0</v>
      </c>
    </row>
    <row r="49" spans="1:30">
      <c r="A49" s="126" t="s">
        <v>179</v>
      </c>
      <c r="B49" s="126" t="s">
        <v>4</v>
      </c>
      <c r="C49" s="121">
        <v>112529</v>
      </c>
      <c r="D49" s="121">
        <v>60495</v>
      </c>
      <c r="E49" s="121">
        <v>0</v>
      </c>
      <c r="F49" s="121">
        <v>189737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/>
      <c r="N49" s="121"/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v>0</v>
      </c>
      <c r="X49" s="121">
        <v>0</v>
      </c>
      <c r="Y49" s="137">
        <f t="shared" si="1"/>
        <v>0</v>
      </c>
      <c r="Z49" s="121"/>
      <c r="AA49" s="121"/>
      <c r="AB49" s="121"/>
      <c r="AC49" s="121"/>
      <c r="AD49" s="137">
        <f t="shared" si="20"/>
        <v>0</v>
      </c>
    </row>
    <row r="50" spans="1:30">
      <c r="A50" s="126" t="s">
        <v>180</v>
      </c>
      <c r="B50" s="126" t="s">
        <v>4</v>
      </c>
      <c r="C50" s="121">
        <v>68911</v>
      </c>
      <c r="D50" s="121">
        <v>17406</v>
      </c>
      <c r="E50" s="121">
        <v>703</v>
      </c>
      <c r="F50" s="121">
        <v>297597</v>
      </c>
      <c r="G50" s="121">
        <v>0</v>
      </c>
      <c r="H50" s="121">
        <v>0</v>
      </c>
      <c r="I50" s="121">
        <v>0</v>
      </c>
      <c r="J50" s="121">
        <v>1700161</v>
      </c>
      <c r="K50" s="121">
        <v>0</v>
      </c>
      <c r="L50" s="121">
        <v>0</v>
      </c>
      <c r="M50" s="121">
        <v>1000000</v>
      </c>
      <c r="N50" s="121">
        <f t="shared" ref="N50:N60" si="21">O50</f>
        <v>1000000</v>
      </c>
      <c r="O50" s="121">
        <v>1000000</v>
      </c>
      <c r="P50" s="121">
        <v>0</v>
      </c>
      <c r="Q50" s="121">
        <v>0</v>
      </c>
      <c r="R50" s="121">
        <v>0</v>
      </c>
      <c r="S50" s="121">
        <v>99997</v>
      </c>
      <c r="T50" s="121">
        <v>99997</v>
      </c>
      <c r="U50" s="121">
        <v>0</v>
      </c>
      <c r="V50" s="121">
        <v>0</v>
      </c>
      <c r="W50" s="121">
        <v>39983</v>
      </c>
      <c r="X50" s="121">
        <v>0</v>
      </c>
      <c r="Y50" s="137">
        <f t="shared" si="1"/>
        <v>39983</v>
      </c>
      <c r="Z50" s="121">
        <v>0</v>
      </c>
      <c r="AA50" s="121"/>
      <c r="AB50" s="121"/>
      <c r="AC50" s="121"/>
      <c r="AD50" s="137">
        <f t="shared" si="20"/>
        <v>0</v>
      </c>
    </row>
    <row r="51" spans="1:30">
      <c r="A51" s="126" t="s">
        <v>173</v>
      </c>
      <c r="B51" s="126" t="s">
        <v>4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-22536</v>
      </c>
      <c r="K51" s="121">
        <v>0</v>
      </c>
      <c r="L51" s="121">
        <v>0</v>
      </c>
      <c r="M51" s="121">
        <v>-9230</v>
      </c>
      <c r="N51" s="121">
        <f t="shared" si="21"/>
        <v>-9223</v>
      </c>
      <c r="O51" s="121">
        <v>-9223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v>0</v>
      </c>
      <c r="X51" s="121">
        <v>0</v>
      </c>
      <c r="Y51" s="137">
        <f t="shared" si="1"/>
        <v>0</v>
      </c>
      <c r="Z51" s="121"/>
      <c r="AA51" s="121"/>
      <c r="AB51" s="121"/>
      <c r="AC51" s="121"/>
      <c r="AD51" s="137">
        <f t="shared" si="20"/>
        <v>0</v>
      </c>
    </row>
    <row r="52" spans="1:30">
      <c r="A52" s="126" t="s">
        <v>174</v>
      </c>
      <c r="B52" s="126" t="s">
        <v>4</v>
      </c>
      <c r="C52" s="121">
        <v>-563655</v>
      </c>
      <c r="D52" s="121">
        <v>-284440</v>
      </c>
      <c r="E52" s="121">
        <v>-156944</v>
      </c>
      <c r="F52" s="121">
        <v>-14290</v>
      </c>
      <c r="G52" s="121">
        <v>-51876.711559999996</v>
      </c>
      <c r="H52" s="121">
        <v>-82931</v>
      </c>
      <c r="I52" s="121">
        <v>-73908</v>
      </c>
      <c r="J52" s="121">
        <v>-67984</v>
      </c>
      <c r="K52" s="121">
        <v>0</v>
      </c>
      <c r="L52" s="121">
        <f>-38184-K52</f>
        <v>-38184</v>
      </c>
      <c r="M52" s="121">
        <f>-187953-K52-L52</f>
        <v>-149769</v>
      </c>
      <c r="N52" s="121">
        <f t="shared" si="21"/>
        <v>-202988</v>
      </c>
      <c r="O52" s="121">
        <v>-202988</v>
      </c>
      <c r="P52" s="121">
        <v>0</v>
      </c>
      <c r="Q52" s="121">
        <v>-42244</v>
      </c>
      <c r="R52" s="121">
        <v>-25104</v>
      </c>
      <c r="S52" s="121">
        <v>-100532</v>
      </c>
      <c r="T52" s="121">
        <v>-100532</v>
      </c>
      <c r="U52" s="121">
        <v>0</v>
      </c>
      <c r="V52" s="121">
        <v>0</v>
      </c>
      <c r="W52" s="121">
        <v>0</v>
      </c>
      <c r="X52" s="121">
        <v>-37882</v>
      </c>
      <c r="Y52" s="137">
        <f t="shared" si="1"/>
        <v>-37882</v>
      </c>
      <c r="Z52" s="121">
        <v>-53445</v>
      </c>
      <c r="AA52" s="121"/>
      <c r="AB52" s="121"/>
      <c r="AC52" s="121"/>
      <c r="AD52" s="137">
        <f t="shared" si="20"/>
        <v>-53445</v>
      </c>
    </row>
    <row r="53" spans="1:30">
      <c r="A53" s="126" t="s">
        <v>113</v>
      </c>
      <c r="B53" s="126" t="s">
        <v>4</v>
      </c>
      <c r="C53" s="121">
        <v>-127327</v>
      </c>
      <c r="D53" s="121">
        <v>216950</v>
      </c>
      <c r="E53" s="121">
        <v>-20212</v>
      </c>
      <c r="F53" s="121">
        <v>-308684</v>
      </c>
      <c r="G53" s="121">
        <v>-39205.727228669355</v>
      </c>
      <c r="H53" s="121">
        <v>560823</v>
      </c>
      <c r="I53" s="121">
        <v>-11324</v>
      </c>
      <c r="J53" s="121">
        <v>0</v>
      </c>
      <c r="K53" s="121">
        <v>-67255</v>
      </c>
      <c r="L53" s="121">
        <f>-67255-K53</f>
        <v>0</v>
      </c>
      <c r="M53" s="121">
        <f>-67255-K53-L53</f>
        <v>0</v>
      </c>
      <c r="N53" s="121">
        <f t="shared" si="21"/>
        <v>-67255</v>
      </c>
      <c r="O53" s="121">
        <v>-67255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v>0</v>
      </c>
      <c r="X53" s="121">
        <v>0</v>
      </c>
      <c r="Y53" s="137">
        <f t="shared" si="1"/>
        <v>0</v>
      </c>
      <c r="Z53" s="121"/>
      <c r="AA53" s="121"/>
      <c r="AB53" s="121"/>
      <c r="AC53" s="121"/>
      <c r="AD53" s="137">
        <f t="shared" si="20"/>
        <v>0</v>
      </c>
    </row>
    <row r="54" spans="1:30">
      <c r="A54" s="126" t="s">
        <v>183</v>
      </c>
      <c r="B54" s="126" t="s">
        <v>4</v>
      </c>
      <c r="C54" s="121">
        <v>0</v>
      </c>
      <c r="D54" s="121">
        <v>0</v>
      </c>
      <c r="E54" s="121">
        <v>131146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/>
      <c r="N54" s="121">
        <f t="shared" si="21"/>
        <v>0</v>
      </c>
      <c r="O54" s="121">
        <v>0</v>
      </c>
      <c r="P54" s="121">
        <v>0</v>
      </c>
      <c r="Q54" s="121">
        <v>0</v>
      </c>
      <c r="R54" s="121">
        <v>0</v>
      </c>
      <c r="S54" s="121"/>
      <c r="T54" s="121"/>
      <c r="U54" s="121">
        <v>0</v>
      </c>
      <c r="V54" s="121">
        <v>0</v>
      </c>
      <c r="W54" s="121">
        <v>0</v>
      </c>
      <c r="X54" s="121"/>
      <c r="Y54" s="137">
        <f t="shared" si="1"/>
        <v>0</v>
      </c>
      <c r="Z54" s="121"/>
      <c r="AA54" s="121"/>
      <c r="AB54" s="121"/>
      <c r="AC54" s="121"/>
      <c r="AD54" s="137">
        <f t="shared" si="20"/>
        <v>0</v>
      </c>
    </row>
    <row r="55" spans="1:30">
      <c r="A55" s="126" t="s">
        <v>184</v>
      </c>
      <c r="B55" s="126" t="s">
        <v>4</v>
      </c>
      <c r="C55" s="121">
        <v>0</v>
      </c>
      <c r="D55" s="121">
        <v>0</v>
      </c>
      <c r="E55" s="121">
        <v>240769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/>
      <c r="N55" s="121">
        <f t="shared" si="21"/>
        <v>0</v>
      </c>
      <c r="O55" s="121">
        <v>0</v>
      </c>
      <c r="P55" s="121">
        <v>0</v>
      </c>
      <c r="Q55" s="121">
        <v>0</v>
      </c>
      <c r="R55" s="121">
        <v>0</v>
      </c>
      <c r="S55" s="121"/>
      <c r="T55" s="121"/>
      <c r="U55" s="121">
        <v>0</v>
      </c>
      <c r="V55" s="121">
        <v>0</v>
      </c>
      <c r="W55" s="121">
        <v>0</v>
      </c>
      <c r="X55" s="121"/>
      <c r="Y55" s="137">
        <f t="shared" si="1"/>
        <v>0</v>
      </c>
      <c r="Z55" s="121"/>
      <c r="AA55" s="121"/>
      <c r="AB55" s="121"/>
      <c r="AC55" s="121"/>
      <c r="AD55" s="137">
        <f t="shared" si="20"/>
        <v>0</v>
      </c>
    </row>
    <row r="56" spans="1:30">
      <c r="A56" s="126" t="s">
        <v>131</v>
      </c>
      <c r="B56" s="126" t="s">
        <v>4</v>
      </c>
      <c r="C56" s="121">
        <v>0</v>
      </c>
      <c r="D56" s="121">
        <v>0</v>
      </c>
      <c r="E56" s="121">
        <v>0</v>
      </c>
      <c r="F56" s="121">
        <v>0</v>
      </c>
      <c r="G56" s="121">
        <v>0</v>
      </c>
      <c r="H56" s="121">
        <v>0</v>
      </c>
      <c r="I56" s="121">
        <v>-106066</v>
      </c>
      <c r="J56" s="121">
        <v>-123877</v>
      </c>
      <c r="K56" s="121">
        <v>-33160</v>
      </c>
      <c r="L56" s="121">
        <f t="shared" ref="L56" si="22">-65737-K56</f>
        <v>-32577</v>
      </c>
      <c r="M56" s="121">
        <f t="shared" ref="M56" si="23">-98313-L56-K56</f>
        <v>-32576</v>
      </c>
      <c r="N56" s="121">
        <f t="shared" ref="N56" si="24">O56</f>
        <v>-129644</v>
      </c>
      <c r="O56" s="121">
        <v>-129644</v>
      </c>
      <c r="P56" s="121">
        <v>-31260</v>
      </c>
      <c r="Q56" s="121">
        <v>-33277</v>
      </c>
      <c r="R56" s="121">
        <v>-30787</v>
      </c>
      <c r="S56" s="121">
        <v>-125360</v>
      </c>
      <c r="T56" s="121">
        <v>-125360</v>
      </c>
      <c r="U56" s="121">
        <v>-32443</v>
      </c>
      <c r="V56" s="121">
        <v>-30543</v>
      </c>
      <c r="W56" s="121">
        <v>-30681</v>
      </c>
      <c r="X56" s="121">
        <v>-30433</v>
      </c>
      <c r="Y56" s="137">
        <f t="shared" si="1"/>
        <v>-124100</v>
      </c>
      <c r="Z56" s="121">
        <v>-26569</v>
      </c>
      <c r="AA56" s="121"/>
      <c r="AB56" s="121"/>
      <c r="AC56" s="121"/>
      <c r="AD56" s="137">
        <f t="shared" si="20"/>
        <v>-26569</v>
      </c>
    </row>
    <row r="57" spans="1:30">
      <c r="A57" s="126" t="s">
        <v>207</v>
      </c>
      <c r="B57" s="126" t="s">
        <v>4</v>
      </c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v>0</v>
      </c>
      <c r="M57" s="121">
        <v>0</v>
      </c>
      <c r="N57" s="121">
        <v>0</v>
      </c>
      <c r="O57" s="121">
        <v>0</v>
      </c>
      <c r="P57" s="121">
        <v>0</v>
      </c>
      <c r="Q57" s="121">
        <v>-43822</v>
      </c>
      <c r="R57" s="121">
        <v>0</v>
      </c>
      <c r="S57" s="121">
        <v>-43822</v>
      </c>
      <c r="T57" s="121">
        <v>-43822</v>
      </c>
      <c r="U57" s="121">
        <v>0</v>
      </c>
      <c r="V57" s="121">
        <v>0</v>
      </c>
      <c r="W57" s="121">
        <v>0</v>
      </c>
      <c r="X57" s="121">
        <v>0</v>
      </c>
      <c r="Y57" s="137">
        <f t="shared" si="1"/>
        <v>0</v>
      </c>
      <c r="Z57" s="121"/>
      <c r="AA57" s="121"/>
      <c r="AB57" s="121"/>
      <c r="AC57" s="121"/>
      <c r="AD57" s="137">
        <f t="shared" si="20"/>
        <v>0</v>
      </c>
    </row>
    <row r="58" spans="1:30">
      <c r="A58" s="126" t="s">
        <v>208</v>
      </c>
      <c r="B58" s="126" t="s">
        <v>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v>0</v>
      </c>
      <c r="M58" s="121">
        <v>0</v>
      </c>
      <c r="N58" s="121">
        <v>0</v>
      </c>
      <c r="O58" s="121">
        <v>0</v>
      </c>
      <c r="P58" s="121">
        <v>0</v>
      </c>
      <c r="Q58" s="121">
        <v>-14673</v>
      </c>
      <c r="R58" s="121">
        <v>0</v>
      </c>
      <c r="S58" s="121">
        <v>-14673</v>
      </c>
      <c r="T58" s="121">
        <v>-14673</v>
      </c>
      <c r="U58" s="121">
        <v>0</v>
      </c>
      <c r="V58" s="121">
        <v>0</v>
      </c>
      <c r="W58" s="121">
        <v>0</v>
      </c>
      <c r="X58" s="121">
        <v>0</v>
      </c>
      <c r="Y58" s="137">
        <f t="shared" si="1"/>
        <v>0</v>
      </c>
      <c r="Z58" s="121"/>
      <c r="AA58" s="121"/>
      <c r="AB58" s="121"/>
      <c r="AC58" s="121"/>
      <c r="AD58" s="137">
        <f t="shared" si="20"/>
        <v>0</v>
      </c>
    </row>
    <row r="59" spans="1:30">
      <c r="A59" s="132" t="s">
        <v>132</v>
      </c>
      <c r="B59" s="132" t="s">
        <v>4</v>
      </c>
      <c r="C59" s="124">
        <f t="shared" ref="C59:D59" si="25">SUM(C44:C58)</f>
        <v>432861</v>
      </c>
      <c r="D59" s="124">
        <f t="shared" si="25"/>
        <v>-364164</v>
      </c>
      <c r="E59" s="124">
        <f t="shared" ref="E59" si="26">SUM(E44:E58)</f>
        <v>95554</v>
      </c>
      <c r="F59" s="124">
        <f t="shared" ref="F59:K59" si="27">SUM(F44:F58)</f>
        <v>202381</v>
      </c>
      <c r="G59" s="124">
        <f t="shared" si="27"/>
        <v>-25577.763664568127</v>
      </c>
      <c r="H59" s="124">
        <f t="shared" si="27"/>
        <v>235331</v>
      </c>
      <c r="I59" s="124">
        <f t="shared" si="27"/>
        <v>474379</v>
      </c>
      <c r="J59" s="124">
        <f t="shared" si="27"/>
        <v>-389268</v>
      </c>
      <c r="K59" s="124">
        <f t="shared" si="27"/>
        <v>-103581</v>
      </c>
      <c r="L59" s="124">
        <f t="shared" ref="L59:M59" si="28">SUM(L44:L58)</f>
        <v>-73718</v>
      </c>
      <c r="M59" s="124">
        <f t="shared" si="28"/>
        <v>805762</v>
      </c>
      <c r="N59" s="124">
        <f t="shared" si="21"/>
        <v>577036</v>
      </c>
      <c r="O59" s="124">
        <f t="shared" ref="O59:R59" si="29">SUM(O44:O58)</f>
        <v>577036</v>
      </c>
      <c r="P59" s="124">
        <f t="shared" si="29"/>
        <v>-33924</v>
      </c>
      <c r="Q59" s="124">
        <f t="shared" si="29"/>
        <v>-136681</v>
      </c>
      <c r="R59" s="124">
        <f t="shared" si="29"/>
        <v>-59162</v>
      </c>
      <c r="S59" s="124">
        <f t="shared" ref="S59" si="30">SUM(S44:S58)</f>
        <v>-225244</v>
      </c>
      <c r="T59" s="124">
        <v>-225244</v>
      </c>
      <c r="U59" s="124">
        <f t="shared" ref="U59:Y59" si="31">SUM(U44:U58)</f>
        <v>-45958</v>
      </c>
      <c r="V59" s="124">
        <f t="shared" si="31"/>
        <v>-44142</v>
      </c>
      <c r="W59" s="124">
        <f t="shared" si="31"/>
        <v>-4410</v>
      </c>
      <c r="X59" s="124">
        <f>SUM(X44:X58)</f>
        <v>-77953</v>
      </c>
      <c r="Y59" s="124">
        <f t="shared" si="31"/>
        <v>-172463</v>
      </c>
      <c r="Z59" s="124">
        <f t="shared" ref="Z59:AB59" si="32">SUM(Z44:Z58)</f>
        <v>-118037</v>
      </c>
      <c r="AA59" s="124">
        <f t="shared" si="32"/>
        <v>0</v>
      </c>
      <c r="AB59" s="124">
        <f t="shared" si="32"/>
        <v>0</v>
      </c>
      <c r="AC59" s="124">
        <f>SUM(AC44:AC58)</f>
        <v>0</v>
      </c>
      <c r="AD59" s="124">
        <f t="shared" ref="AD59" si="33">SUM(AD44:AD58)</f>
        <v>-118037</v>
      </c>
    </row>
    <row r="60" spans="1:30">
      <c r="A60" s="132" t="s">
        <v>133</v>
      </c>
      <c r="B60" s="126" t="s">
        <v>4</v>
      </c>
      <c r="C60" s="124">
        <f t="shared" ref="C60:K60" si="34">SUM(C59,C43,C36)</f>
        <v>434078.2403071383</v>
      </c>
      <c r="D60" s="124">
        <f t="shared" si="34"/>
        <v>-266778.56157785491</v>
      </c>
      <c r="E60" s="124">
        <f t="shared" si="34"/>
        <v>292810.48731254251</v>
      </c>
      <c r="F60" s="124">
        <f t="shared" si="34"/>
        <v>-264699.04074021935</v>
      </c>
      <c r="G60" s="124">
        <f t="shared" si="34"/>
        <v>-383760.11977093958</v>
      </c>
      <c r="H60" s="124">
        <f t="shared" si="34"/>
        <v>-37709.640100118006</v>
      </c>
      <c r="I60" s="124">
        <f t="shared" si="34"/>
        <v>198812.76520271448</v>
      </c>
      <c r="J60" s="124">
        <f t="shared" si="34"/>
        <v>45214.543222459499</v>
      </c>
      <c r="K60" s="124">
        <f t="shared" si="34"/>
        <v>-11621.007988402213</v>
      </c>
      <c r="L60" s="124">
        <f t="shared" ref="L60:M60" si="35">SUM(L59,L43,L36)</f>
        <v>-70517.992011597787</v>
      </c>
      <c r="M60" s="124">
        <f t="shared" si="35"/>
        <v>-52858</v>
      </c>
      <c r="N60" s="124">
        <f t="shared" si="21"/>
        <v>34717</v>
      </c>
      <c r="O60" s="124">
        <f t="shared" ref="O60:R60" si="36">SUM(O59,O43,O36)</f>
        <v>34717</v>
      </c>
      <c r="P60" s="124">
        <f t="shared" si="36"/>
        <v>-33173</v>
      </c>
      <c r="Q60" s="124">
        <f t="shared" si="36"/>
        <v>-121681</v>
      </c>
      <c r="R60" s="124">
        <f t="shared" si="36"/>
        <v>48484.692050000012</v>
      </c>
      <c r="S60" s="124">
        <f t="shared" ref="S60" si="37">SUM(S59,S43,S36)</f>
        <v>137426</v>
      </c>
      <c r="T60" s="124">
        <v>137426</v>
      </c>
      <c r="U60" s="124">
        <f t="shared" ref="U60:Y60" si="38">SUM(U59,U43,U36)</f>
        <v>-453254</v>
      </c>
      <c r="V60" s="124">
        <f t="shared" si="38"/>
        <v>36242.890599999984</v>
      </c>
      <c r="W60" s="124">
        <f t="shared" si="38"/>
        <v>153918</v>
      </c>
      <c r="X60" s="124">
        <f t="shared" si="38"/>
        <v>125048</v>
      </c>
      <c r="Y60" s="124">
        <f t="shared" si="38"/>
        <v>-138045.10939999996</v>
      </c>
      <c r="Z60" s="124">
        <f t="shared" ref="Z60:AD60" si="39">SUM(Z59,Z43,Z36)</f>
        <v>-260007</v>
      </c>
      <c r="AA60" s="124">
        <f t="shared" si="39"/>
        <v>0</v>
      </c>
      <c r="AB60" s="124">
        <f t="shared" si="39"/>
        <v>0</v>
      </c>
      <c r="AC60" s="124">
        <f t="shared" si="39"/>
        <v>0</v>
      </c>
      <c r="AD60" s="124">
        <f t="shared" si="39"/>
        <v>-260007</v>
      </c>
    </row>
    <row r="61" spans="1:30">
      <c r="A61" s="126" t="s">
        <v>134</v>
      </c>
      <c r="B61" s="126" t="s">
        <v>4</v>
      </c>
      <c r="C61" s="121">
        <v>475783</v>
      </c>
      <c r="D61" s="121">
        <f t="shared" ref="D61:J61" si="40">C63</f>
        <v>909868.64030713832</v>
      </c>
      <c r="E61" s="121">
        <f t="shared" si="40"/>
        <v>643095.37872928346</v>
      </c>
      <c r="F61" s="116">
        <f t="shared" si="40"/>
        <v>935899.76604182599</v>
      </c>
      <c r="G61" s="121">
        <f t="shared" si="40"/>
        <v>609293.32530160656</v>
      </c>
      <c r="H61" s="116">
        <f t="shared" si="40"/>
        <v>210186.99172435037</v>
      </c>
      <c r="I61" s="121">
        <f t="shared" si="40"/>
        <v>181088.25162423236</v>
      </c>
      <c r="J61" s="121">
        <f t="shared" si="40"/>
        <v>379881.21682694688</v>
      </c>
      <c r="K61" s="121">
        <f>J63</f>
        <v>425096.1600494064</v>
      </c>
      <c r="L61" s="121">
        <f>K63</f>
        <v>413475.15206100419</v>
      </c>
      <c r="M61" s="121">
        <f>L63</f>
        <v>342957.1600494064</v>
      </c>
      <c r="N61" s="121">
        <f>M63</f>
        <v>290099.1600494064</v>
      </c>
      <c r="O61" s="121">
        <f>J63</f>
        <v>425096.1600494064</v>
      </c>
      <c r="P61" s="121">
        <f>O63</f>
        <v>459813.1600494064</v>
      </c>
      <c r="Q61" s="121">
        <f>P63</f>
        <v>426640.1600494064</v>
      </c>
      <c r="R61" s="121">
        <f>Q63</f>
        <v>304959.1600494064</v>
      </c>
      <c r="S61" s="121">
        <f>R63</f>
        <v>353443.85209940642</v>
      </c>
      <c r="T61" s="121">
        <v>459813</v>
      </c>
      <c r="U61" s="121">
        <f>T63</f>
        <v>597239</v>
      </c>
      <c r="V61" s="121">
        <f>U63</f>
        <v>143985</v>
      </c>
      <c r="W61" s="121">
        <f>V63</f>
        <v>180227.89059999998</v>
      </c>
      <c r="X61" s="121">
        <f>W63</f>
        <v>334145.89059999998</v>
      </c>
      <c r="Y61" s="121">
        <f>T63</f>
        <v>597239</v>
      </c>
      <c r="Z61" s="121">
        <f>Y63</f>
        <v>459193.89060000004</v>
      </c>
      <c r="AA61" s="121">
        <f>Z63</f>
        <v>199186.89060000004</v>
      </c>
      <c r="AB61" s="121">
        <f>AA63</f>
        <v>199186.89060000004</v>
      </c>
      <c r="AC61" s="121">
        <f>AB63</f>
        <v>199186.89060000004</v>
      </c>
      <c r="AD61" s="121">
        <f>Y63</f>
        <v>459193.89060000004</v>
      </c>
    </row>
    <row r="62" spans="1:30">
      <c r="A62" s="126" t="s">
        <v>176</v>
      </c>
      <c r="B62" s="126" t="s">
        <v>4</v>
      </c>
      <c r="C62" s="121">
        <v>7.4</v>
      </c>
      <c r="D62" s="121">
        <v>5.3</v>
      </c>
      <c r="E62" s="121">
        <v>-6.1</v>
      </c>
      <c r="F62" s="121">
        <v>-61907.4</v>
      </c>
      <c r="G62" s="121">
        <f>-16346.9138063166+1000.7</f>
        <v>-15346.213806316598</v>
      </c>
      <c r="H62" s="121">
        <v>8610.9</v>
      </c>
      <c r="I62" s="121">
        <v>-19.8</v>
      </c>
      <c r="J62" s="121">
        <v>0.4</v>
      </c>
      <c r="K62" s="121">
        <v>0</v>
      </c>
      <c r="L62" s="121">
        <v>0</v>
      </c>
      <c r="M62" s="121">
        <v>0</v>
      </c>
      <c r="N62" s="121">
        <f>O62</f>
        <v>0</v>
      </c>
      <c r="O62" s="121">
        <v>0</v>
      </c>
      <c r="P62" s="121">
        <v>0</v>
      </c>
      <c r="Q62" s="121">
        <v>0</v>
      </c>
      <c r="R62" s="121">
        <v>0</v>
      </c>
      <c r="S62" s="144">
        <v>0</v>
      </c>
      <c r="T62" s="121">
        <v>0</v>
      </c>
      <c r="U62" s="121">
        <v>0</v>
      </c>
      <c r="V62" s="121">
        <v>0</v>
      </c>
      <c r="W62" s="121">
        <v>0</v>
      </c>
      <c r="X62" s="121">
        <v>0</v>
      </c>
      <c r="Y62" s="121"/>
      <c r="Z62" s="121">
        <v>0</v>
      </c>
      <c r="AA62" s="121">
        <v>0</v>
      </c>
      <c r="AB62" s="121">
        <v>0</v>
      </c>
      <c r="AC62" s="121">
        <v>0</v>
      </c>
      <c r="AD62" s="121"/>
    </row>
    <row r="63" spans="1:30">
      <c r="A63" s="132" t="s">
        <v>135</v>
      </c>
      <c r="B63" s="132" t="s">
        <v>4</v>
      </c>
      <c r="C63" s="124">
        <f t="shared" ref="C63:D63" si="41">SUM(C60:C62)</f>
        <v>909868.64030713832</v>
      </c>
      <c r="D63" s="124">
        <f t="shared" si="41"/>
        <v>643095.37872928346</v>
      </c>
      <c r="E63" s="124">
        <f t="shared" ref="E63:K63" si="42">SUM(E60:E62)</f>
        <v>935899.76604182599</v>
      </c>
      <c r="F63" s="124">
        <f t="shared" si="42"/>
        <v>609293.32530160656</v>
      </c>
      <c r="G63" s="124">
        <f t="shared" si="42"/>
        <v>210186.99172435037</v>
      </c>
      <c r="H63" s="124">
        <f t="shared" si="42"/>
        <v>181088.25162423236</v>
      </c>
      <c r="I63" s="124">
        <f t="shared" si="42"/>
        <v>379881.21682694688</v>
      </c>
      <c r="J63" s="125">
        <f t="shared" si="42"/>
        <v>425096.1600494064</v>
      </c>
      <c r="K63" s="125">
        <f t="shared" si="42"/>
        <v>413475.15206100419</v>
      </c>
      <c r="L63" s="125">
        <f t="shared" ref="L63:M63" si="43">SUM(L60:L62)</f>
        <v>342957.1600494064</v>
      </c>
      <c r="M63" s="125">
        <f t="shared" si="43"/>
        <v>290099.1600494064</v>
      </c>
      <c r="N63" s="125">
        <f>O63</f>
        <v>459813.1600494064</v>
      </c>
      <c r="O63" s="125">
        <f t="shared" ref="O63:S63" si="44">SUM(O60:O62)</f>
        <v>459813.1600494064</v>
      </c>
      <c r="P63" s="125">
        <f t="shared" si="44"/>
        <v>426640.1600494064</v>
      </c>
      <c r="Q63" s="125">
        <f t="shared" si="44"/>
        <v>304959.1600494064</v>
      </c>
      <c r="R63" s="125">
        <f t="shared" si="44"/>
        <v>353443.85209940642</v>
      </c>
      <c r="S63" s="125">
        <f t="shared" si="44"/>
        <v>490869.85209940642</v>
      </c>
      <c r="T63" s="125">
        <v>597239</v>
      </c>
      <c r="U63" s="125">
        <f t="shared" ref="U63:Y63" si="45">SUM(U60:U62)</f>
        <v>143985</v>
      </c>
      <c r="V63" s="125">
        <f t="shared" si="45"/>
        <v>180227.89059999998</v>
      </c>
      <c r="W63" s="125">
        <f t="shared" si="45"/>
        <v>334145.89059999998</v>
      </c>
      <c r="X63" s="125">
        <f t="shared" si="45"/>
        <v>459193.89059999998</v>
      </c>
      <c r="Y63" s="125">
        <f t="shared" si="45"/>
        <v>459193.89060000004</v>
      </c>
      <c r="Z63" s="125">
        <f t="shared" ref="Z63:AD63" si="46">SUM(Z60:Z62)</f>
        <v>199186.89060000004</v>
      </c>
      <c r="AA63" s="125">
        <f t="shared" si="46"/>
        <v>199186.89060000004</v>
      </c>
      <c r="AB63" s="125">
        <f t="shared" si="46"/>
        <v>199186.89060000004</v>
      </c>
      <c r="AC63" s="125">
        <f t="shared" si="46"/>
        <v>199186.89060000004</v>
      </c>
      <c r="AD63" s="125">
        <f t="shared" si="46"/>
        <v>199186.89060000004</v>
      </c>
    </row>
    <row r="64" spans="1:30">
      <c r="A64" s="132"/>
      <c r="B64" s="132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</row>
    <row r="65" spans="1:30" ht="13.5" customHeight="1">
      <c r="A65" s="126"/>
      <c r="B65" s="126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</row>
    <row r="66" spans="1:30">
      <c r="A66" s="128" t="s">
        <v>9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>
        <f t="shared" ref="K66:M66" si="47">K67-K98</f>
        <v>0</v>
      </c>
      <c r="L66" s="129">
        <f t="shared" si="47"/>
        <v>0</v>
      </c>
      <c r="M66" s="129">
        <f t="shared" si="47"/>
        <v>0</v>
      </c>
      <c r="N66" s="129">
        <f t="shared" ref="N66" si="48">N67-N98</f>
        <v>0</v>
      </c>
      <c r="O66" s="129"/>
      <c r="P66" s="129">
        <f t="shared" ref="P66:T66" si="49">P67-P98</f>
        <v>0</v>
      </c>
      <c r="Q66" s="129">
        <f t="shared" si="49"/>
        <v>0</v>
      </c>
      <c r="R66" s="129">
        <f t="shared" si="49"/>
        <v>0</v>
      </c>
      <c r="S66" s="129">
        <f t="shared" si="49"/>
        <v>0</v>
      </c>
      <c r="T66" s="129">
        <f t="shared" si="49"/>
        <v>0</v>
      </c>
      <c r="U66" s="129">
        <f t="shared" ref="U66:X66" si="50">U67-U98</f>
        <v>0</v>
      </c>
      <c r="V66" s="129">
        <f t="shared" si="50"/>
        <v>0</v>
      </c>
      <c r="W66" s="129">
        <f t="shared" si="50"/>
        <v>0</v>
      </c>
      <c r="X66" s="129">
        <f t="shared" si="50"/>
        <v>0</v>
      </c>
      <c r="Y66" s="129">
        <f t="shared" ref="Y66:AC66" si="51">Y67-Y98</f>
        <v>0</v>
      </c>
      <c r="Z66" s="129">
        <f t="shared" si="51"/>
        <v>0</v>
      </c>
      <c r="AA66" s="129">
        <f t="shared" si="51"/>
        <v>0</v>
      </c>
      <c r="AB66" s="129">
        <f t="shared" si="51"/>
        <v>0</v>
      </c>
      <c r="AC66" s="129">
        <f t="shared" si="51"/>
        <v>0</v>
      </c>
      <c r="AD66" s="129">
        <f t="shared" ref="AD66" si="52">AD67-AD98</f>
        <v>0</v>
      </c>
    </row>
    <row r="67" spans="1:30">
      <c r="A67" s="132" t="s">
        <v>10</v>
      </c>
      <c r="B67" s="132" t="s">
        <v>4</v>
      </c>
      <c r="C67" s="124">
        <f t="shared" ref="C67:K67" si="53">C68+C78</f>
        <v>7165523.0430479581</v>
      </c>
      <c r="D67" s="124">
        <f t="shared" si="53"/>
        <v>7253363.5799474679</v>
      </c>
      <c r="E67" s="124">
        <f t="shared" si="53"/>
        <v>7327383.3984603658</v>
      </c>
      <c r="F67" s="124">
        <f t="shared" si="53"/>
        <v>6771543.9056463996</v>
      </c>
      <c r="G67" s="124">
        <f t="shared" si="53"/>
        <v>3852690</v>
      </c>
      <c r="H67" s="124">
        <f t="shared" si="53"/>
        <v>3746565</v>
      </c>
      <c r="I67" s="124">
        <f t="shared" si="53"/>
        <v>3928438</v>
      </c>
      <c r="J67" s="124">
        <f t="shared" si="53"/>
        <v>3889785</v>
      </c>
      <c r="K67" s="124">
        <f t="shared" si="53"/>
        <v>3931137</v>
      </c>
      <c r="L67" s="124">
        <f t="shared" ref="L67:M67" si="54">L68+L78</f>
        <v>4076741</v>
      </c>
      <c r="M67" s="124">
        <f t="shared" si="54"/>
        <v>4924596</v>
      </c>
      <c r="N67" s="124">
        <f t="shared" ref="N67:N89" si="55">O67</f>
        <v>4816696</v>
      </c>
      <c r="O67" s="124">
        <f t="shared" ref="O67:T67" si="56">O68+O78</f>
        <v>4816696</v>
      </c>
      <c r="P67" s="124">
        <f t="shared" si="56"/>
        <v>4862860</v>
      </c>
      <c r="Q67" s="124">
        <f t="shared" si="56"/>
        <v>4865921</v>
      </c>
      <c r="R67" s="124">
        <f t="shared" si="56"/>
        <v>5083090</v>
      </c>
      <c r="S67" s="124">
        <f t="shared" si="56"/>
        <v>5060411</v>
      </c>
      <c r="T67" s="124">
        <f t="shared" si="56"/>
        <v>5060411</v>
      </c>
      <c r="U67" s="124">
        <f t="shared" ref="U67:X67" si="57">U68+U78</f>
        <v>5092991</v>
      </c>
      <c r="V67" s="124">
        <f t="shared" si="57"/>
        <v>5039571</v>
      </c>
      <c r="W67" s="124">
        <f t="shared" si="57"/>
        <v>5187862</v>
      </c>
      <c r="X67" s="124">
        <f t="shared" si="57"/>
        <v>5008231</v>
      </c>
      <c r="Y67" s="124">
        <f>Y68+Y78</f>
        <v>5008231</v>
      </c>
      <c r="Z67" s="124">
        <f t="shared" ref="Z67:AC67" si="58">Z68+Z78</f>
        <v>4763713</v>
      </c>
      <c r="AA67" s="124">
        <f t="shared" si="58"/>
        <v>0</v>
      </c>
      <c r="AB67" s="124">
        <f t="shared" si="58"/>
        <v>0</v>
      </c>
      <c r="AC67" s="124">
        <f t="shared" si="58"/>
        <v>0</v>
      </c>
      <c r="AD67" s="124">
        <f>AD68+AD78</f>
        <v>4763713</v>
      </c>
    </row>
    <row r="68" spans="1:30">
      <c r="A68" s="135" t="s">
        <v>11</v>
      </c>
      <c r="B68" s="126" t="s">
        <v>4</v>
      </c>
      <c r="C68" s="121">
        <f t="shared" ref="C68:K68" si="59">SUM(C69:C76)</f>
        <v>2060917.5658134671</v>
      </c>
      <c r="D68" s="121">
        <f t="shared" si="59"/>
        <v>1968769.4080992318</v>
      </c>
      <c r="E68" s="121">
        <f t="shared" si="59"/>
        <v>2031762.0481461012</v>
      </c>
      <c r="F68" s="121">
        <f t="shared" si="59"/>
        <v>1552642.2068122998</v>
      </c>
      <c r="G68" s="121">
        <f t="shared" si="59"/>
        <v>874580</v>
      </c>
      <c r="H68" s="121">
        <f t="shared" si="59"/>
        <v>737172</v>
      </c>
      <c r="I68" s="121">
        <f t="shared" si="59"/>
        <v>841185</v>
      </c>
      <c r="J68" s="121">
        <f t="shared" si="59"/>
        <v>1000710</v>
      </c>
      <c r="K68" s="121">
        <f t="shared" si="59"/>
        <v>1073044</v>
      </c>
      <c r="L68" s="121">
        <f t="shared" ref="L68:M68" si="60">SUM(L69:L76)</f>
        <v>1154779</v>
      </c>
      <c r="M68" s="121">
        <f t="shared" si="60"/>
        <v>2120934</v>
      </c>
      <c r="N68" s="121">
        <f t="shared" si="55"/>
        <v>1237482</v>
      </c>
      <c r="O68" s="121">
        <f t="shared" ref="O68:T68" si="61">SUM(O69:O76)</f>
        <v>1237482</v>
      </c>
      <c r="P68" s="121">
        <f t="shared" si="61"/>
        <v>1318471</v>
      </c>
      <c r="Q68" s="121">
        <f t="shared" si="61"/>
        <v>1227191</v>
      </c>
      <c r="R68" s="121">
        <f t="shared" si="61"/>
        <v>1416246</v>
      </c>
      <c r="S68" s="121">
        <f t="shared" si="61"/>
        <v>1434791</v>
      </c>
      <c r="T68" s="121">
        <f t="shared" si="61"/>
        <v>1434791</v>
      </c>
      <c r="U68" s="121">
        <f t="shared" ref="U68" si="62">SUM(U69:U76)</f>
        <v>1267407</v>
      </c>
      <c r="V68" s="121">
        <f>SUM(V69:V77)</f>
        <v>1323339</v>
      </c>
      <c r="W68" s="121">
        <f t="shared" ref="W68:X68" si="63">SUM(W69:W77)</f>
        <v>1495424</v>
      </c>
      <c r="X68" s="121">
        <f t="shared" si="63"/>
        <v>1510581</v>
      </c>
      <c r="Y68" s="121">
        <f>SUM(Y69:Y77)</f>
        <v>1510581</v>
      </c>
      <c r="Z68" s="121">
        <f t="shared" ref="Z68" si="64">SUM(Z69:Z76)</f>
        <v>1343976</v>
      </c>
      <c r="AA68" s="121">
        <f>SUM(AA69:AA77)</f>
        <v>0</v>
      </c>
      <c r="AB68" s="121">
        <f t="shared" ref="AB68:AC68" si="65">SUM(AB69:AB77)</f>
        <v>0</v>
      </c>
      <c r="AC68" s="121">
        <f t="shared" si="65"/>
        <v>0</v>
      </c>
      <c r="AD68" s="121">
        <f>SUM(AD69:AD77)</f>
        <v>1343976</v>
      </c>
    </row>
    <row r="69" spans="1:30">
      <c r="A69" s="156" t="s">
        <v>12</v>
      </c>
      <c r="B69" s="126" t="s">
        <v>4</v>
      </c>
      <c r="C69" s="121">
        <v>909868.60808338772</v>
      </c>
      <c r="D69" s="121">
        <v>643095.42779485136</v>
      </c>
      <c r="E69" s="121">
        <v>935899.80056478875</v>
      </c>
      <c r="F69" s="121">
        <v>609293.30954313814</v>
      </c>
      <c r="G69" s="121">
        <v>210187</v>
      </c>
      <c r="H69" s="121">
        <v>181088</v>
      </c>
      <c r="I69" s="121">
        <v>379881</v>
      </c>
      <c r="J69" s="121">
        <v>425096</v>
      </c>
      <c r="K69" s="121">
        <v>413475</v>
      </c>
      <c r="L69" s="121">
        <v>342957</v>
      </c>
      <c r="M69" s="121">
        <v>297270</v>
      </c>
      <c r="N69" s="121">
        <f t="shared" si="55"/>
        <v>459813</v>
      </c>
      <c r="O69" s="121">
        <v>459813</v>
      </c>
      <c r="P69" s="121">
        <v>426640</v>
      </c>
      <c r="Q69" s="121">
        <v>304959</v>
      </c>
      <c r="R69" s="121">
        <v>353444</v>
      </c>
      <c r="S69" s="121">
        <v>597239</v>
      </c>
      <c r="T69" s="121">
        <v>597239</v>
      </c>
      <c r="U69" s="121">
        <v>143985</v>
      </c>
      <c r="V69" s="121">
        <v>180228</v>
      </c>
      <c r="W69" s="121">
        <v>334146</v>
      </c>
      <c r="X69" s="121">
        <v>459194</v>
      </c>
      <c r="Y69" s="121">
        <f t="shared" ref="Y69:Y77" si="66">X69</f>
        <v>459194</v>
      </c>
      <c r="Z69" s="121">
        <v>199187</v>
      </c>
      <c r="AA69" s="121"/>
      <c r="AB69" s="121"/>
      <c r="AC69" s="121"/>
      <c r="AD69" s="121">
        <f>Z69</f>
        <v>199187</v>
      </c>
    </row>
    <row r="70" spans="1:30">
      <c r="A70" s="156" t="s">
        <v>136</v>
      </c>
      <c r="B70" s="126" t="s">
        <v>4</v>
      </c>
      <c r="C70" s="121">
        <v>146013.71348694732</v>
      </c>
      <c r="D70" s="121">
        <v>236868.90965346384</v>
      </c>
      <c r="E70" s="121">
        <v>72433.878373936313</v>
      </c>
      <c r="F70" s="121">
        <v>146535.09750066185</v>
      </c>
      <c r="G70" s="121">
        <v>118562</v>
      </c>
      <c r="H70" s="121">
        <v>0</v>
      </c>
      <c r="I70" s="121">
        <v>1000</v>
      </c>
      <c r="J70" s="121">
        <v>0</v>
      </c>
      <c r="K70" s="121">
        <v>0</v>
      </c>
      <c r="L70" s="121">
        <v>0</v>
      </c>
      <c r="M70" s="121">
        <v>0</v>
      </c>
      <c r="N70" s="121">
        <f t="shared" si="55"/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1"/>
      <c r="W70" s="121"/>
      <c r="X70" s="121"/>
      <c r="Y70" s="121">
        <f t="shared" si="66"/>
        <v>0</v>
      </c>
      <c r="Z70" s="121"/>
      <c r="AA70" s="121"/>
      <c r="AB70" s="121"/>
      <c r="AC70" s="121"/>
      <c r="AD70" s="121">
        <f>Z70</f>
        <v>0</v>
      </c>
    </row>
    <row r="71" spans="1:30">
      <c r="A71" s="156" t="s">
        <v>114</v>
      </c>
      <c r="B71" s="126" t="s">
        <v>4</v>
      </c>
      <c r="C71" s="121">
        <v>254052.39768559998</v>
      </c>
      <c r="D71" s="121">
        <v>173017.60495649997</v>
      </c>
      <c r="E71" s="121">
        <v>131186.87868309993</v>
      </c>
      <c r="F71" s="121">
        <v>137837.1101198</v>
      </c>
      <c r="G71" s="121">
        <v>35594</v>
      </c>
      <c r="H71" s="121">
        <v>39654</v>
      </c>
      <c r="I71" s="121">
        <v>43631</v>
      </c>
      <c r="J71" s="121">
        <v>156420</v>
      </c>
      <c r="K71" s="121">
        <v>199875</v>
      </c>
      <c r="L71" s="121">
        <v>225894</v>
      </c>
      <c r="M71" s="121">
        <v>231324</v>
      </c>
      <c r="N71" s="121">
        <f t="shared" si="55"/>
        <v>172848</v>
      </c>
      <c r="O71" s="121">
        <v>172848</v>
      </c>
      <c r="P71" s="121">
        <v>231868</v>
      </c>
      <c r="Q71" s="121">
        <v>259737</v>
      </c>
      <c r="R71" s="121">
        <v>268868</v>
      </c>
      <c r="S71" s="121">
        <v>31640</v>
      </c>
      <c r="T71" s="121">
        <v>31640</v>
      </c>
      <c r="U71" s="121">
        <v>203361</v>
      </c>
      <c r="V71" s="121">
        <v>197103</v>
      </c>
      <c r="W71" s="121">
        <v>277239</v>
      </c>
      <c r="X71" s="121">
        <v>123225</v>
      </c>
      <c r="Y71" s="121">
        <f t="shared" si="66"/>
        <v>123225</v>
      </c>
      <c r="Z71" s="121">
        <v>229325</v>
      </c>
      <c r="AA71" s="121"/>
      <c r="AB71" s="121"/>
      <c r="AC71" s="121"/>
      <c r="AD71" s="121">
        <f>Z71</f>
        <v>229325</v>
      </c>
    </row>
    <row r="72" spans="1:30">
      <c r="A72" s="156" t="s">
        <v>188</v>
      </c>
      <c r="B72" s="126" t="s">
        <v>4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21">
        <v>37624</v>
      </c>
      <c r="L72" s="121">
        <v>70419</v>
      </c>
      <c r="M72" s="121">
        <v>56394</v>
      </c>
      <c r="N72" s="121">
        <f t="shared" si="55"/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/>
      <c r="V72" s="121"/>
      <c r="W72" s="121"/>
      <c r="X72" s="121"/>
      <c r="Y72" s="121">
        <f t="shared" si="66"/>
        <v>0</v>
      </c>
      <c r="Z72" s="121"/>
      <c r="AA72" s="121"/>
      <c r="AB72" s="121"/>
      <c r="AC72" s="121"/>
      <c r="AD72" s="121">
        <f>Z72</f>
        <v>0</v>
      </c>
    </row>
    <row r="73" spans="1:30">
      <c r="A73" s="156" t="s">
        <v>115</v>
      </c>
      <c r="B73" s="126" t="s">
        <v>4</v>
      </c>
      <c r="C73" s="121">
        <v>510397.37716000003</v>
      </c>
      <c r="D73" s="121">
        <v>596646.50411006715</v>
      </c>
      <c r="E73" s="121">
        <v>594802.26384999999</v>
      </c>
      <c r="F73" s="121">
        <v>510427.52122000005</v>
      </c>
      <c r="G73" s="121">
        <v>419546</v>
      </c>
      <c r="H73" s="121">
        <v>389348</v>
      </c>
      <c r="I73" s="121">
        <v>301545</v>
      </c>
      <c r="J73" s="121">
        <v>341249</v>
      </c>
      <c r="K73" s="121">
        <v>373768</v>
      </c>
      <c r="L73" s="121">
        <v>424413</v>
      </c>
      <c r="M73" s="121">
        <v>443422</v>
      </c>
      <c r="N73" s="121">
        <f t="shared" si="55"/>
        <v>355935</v>
      </c>
      <c r="O73" s="121">
        <v>355935</v>
      </c>
      <c r="P73" s="121">
        <v>346266</v>
      </c>
      <c r="Q73" s="121">
        <v>309725</v>
      </c>
      <c r="R73" s="121">
        <v>364298</v>
      </c>
      <c r="S73" s="121">
        <v>416931</v>
      </c>
      <c r="T73" s="121">
        <f>S73</f>
        <v>416931</v>
      </c>
      <c r="U73" s="121">
        <v>412358</v>
      </c>
      <c r="V73" s="121">
        <v>367625</v>
      </c>
      <c r="W73" s="121">
        <v>329324</v>
      </c>
      <c r="X73" s="121">
        <v>343300</v>
      </c>
      <c r="Y73" s="121">
        <f t="shared" si="66"/>
        <v>343300</v>
      </c>
      <c r="Z73" s="121">
        <v>354693</v>
      </c>
      <c r="AA73" s="121"/>
      <c r="AB73" s="121"/>
      <c r="AC73" s="121"/>
      <c r="AD73" s="121">
        <f>Z73</f>
        <v>354693</v>
      </c>
    </row>
    <row r="74" spans="1:30">
      <c r="A74" s="156" t="s">
        <v>39</v>
      </c>
      <c r="B74" s="126" t="s">
        <v>4</v>
      </c>
      <c r="C74" s="121">
        <v>142833.06041135275</v>
      </c>
      <c r="D74" s="121">
        <v>151540.4104565267</v>
      </c>
      <c r="E74" s="121">
        <v>140831.84661172639</v>
      </c>
      <c r="F74" s="121">
        <v>61609.101271499989</v>
      </c>
      <c r="G74" s="121">
        <v>57382</v>
      </c>
      <c r="H74" s="121">
        <v>62415</v>
      </c>
      <c r="I74" s="121">
        <v>75152</v>
      </c>
      <c r="J74" s="121">
        <v>40265</v>
      </c>
      <c r="K74" s="121">
        <v>48302</v>
      </c>
      <c r="L74" s="121">
        <v>66945</v>
      </c>
      <c r="M74" s="121">
        <v>73865</v>
      </c>
      <c r="N74" s="121">
        <f t="shared" si="55"/>
        <v>69952</v>
      </c>
      <c r="O74" s="121">
        <v>69952</v>
      </c>
      <c r="P74" s="121">
        <v>78483</v>
      </c>
      <c r="Q74" s="121">
        <v>72074</v>
      </c>
      <c r="R74" s="121">
        <v>82267</v>
      </c>
      <c r="S74" s="121">
        <v>85356</v>
      </c>
      <c r="T74" s="121">
        <f>S74</f>
        <v>85356</v>
      </c>
      <c r="U74" s="121">
        <v>103978</v>
      </c>
      <c r="V74" s="121">
        <v>134608</v>
      </c>
      <c r="W74" s="121">
        <v>73106</v>
      </c>
      <c r="X74" s="121">
        <v>68919</v>
      </c>
      <c r="Y74" s="121">
        <f t="shared" si="66"/>
        <v>68919</v>
      </c>
      <c r="Z74" s="121">
        <v>69921</v>
      </c>
      <c r="AA74" s="121"/>
      <c r="AB74" s="121"/>
      <c r="AC74" s="121"/>
      <c r="AD74" s="121">
        <f>Z74</f>
        <v>69921</v>
      </c>
    </row>
    <row r="75" spans="1:30">
      <c r="A75" s="156" t="s">
        <v>113</v>
      </c>
      <c r="B75" s="126" t="s">
        <v>4</v>
      </c>
      <c r="C75" s="121">
        <v>34398.244012203999</v>
      </c>
      <c r="D75" s="121">
        <v>14114.441680000014</v>
      </c>
      <c r="E75" s="121">
        <v>82054.457430000024</v>
      </c>
      <c r="F75" s="121">
        <v>49799.372697999999</v>
      </c>
      <c r="G75" s="121">
        <v>0</v>
      </c>
      <c r="H75" s="121">
        <v>0</v>
      </c>
      <c r="I75" s="121">
        <v>0</v>
      </c>
      <c r="J75" s="121">
        <v>0</v>
      </c>
      <c r="K75" s="121">
        <v>0</v>
      </c>
      <c r="L75" s="121">
        <v>24151</v>
      </c>
      <c r="M75" s="121">
        <v>1018659</v>
      </c>
      <c r="N75" s="121">
        <f t="shared" si="55"/>
        <v>150754</v>
      </c>
      <c r="O75" s="121">
        <v>150754</v>
      </c>
      <c r="P75" s="121">
        <v>193045</v>
      </c>
      <c r="Q75" s="121">
        <v>222670</v>
      </c>
      <c r="R75" s="121">
        <v>290437</v>
      </c>
      <c r="S75" s="121">
        <v>270114</v>
      </c>
      <c r="T75" s="121">
        <f>S75</f>
        <v>270114</v>
      </c>
      <c r="U75" s="121">
        <v>378272</v>
      </c>
      <c r="V75" s="121">
        <v>389195</v>
      </c>
      <c r="W75" s="121">
        <v>412752</v>
      </c>
      <c r="X75" s="121">
        <v>474283</v>
      </c>
      <c r="Y75" s="121">
        <f t="shared" si="66"/>
        <v>474283</v>
      </c>
      <c r="Z75" s="121">
        <v>464398</v>
      </c>
      <c r="AA75" s="121"/>
      <c r="AB75" s="121"/>
      <c r="AC75" s="121"/>
      <c r="AD75" s="121">
        <f>Z75</f>
        <v>464398</v>
      </c>
    </row>
    <row r="76" spans="1:30">
      <c r="A76" s="156" t="s">
        <v>170</v>
      </c>
      <c r="B76" s="126" t="s">
        <v>4</v>
      </c>
      <c r="C76" s="121">
        <v>63354.164973975421</v>
      </c>
      <c r="D76" s="121">
        <v>153486.10944782256</v>
      </c>
      <c r="E76" s="121">
        <v>74552.922632549773</v>
      </c>
      <c r="F76" s="121">
        <f>37140.6944592</f>
        <v>37140.6944592</v>
      </c>
      <c r="G76" s="121">
        <v>33309</v>
      </c>
      <c r="H76" s="121">
        <v>64667</v>
      </c>
      <c r="I76" s="121">
        <v>39976</v>
      </c>
      <c r="J76" s="121">
        <v>37680</v>
      </c>
      <c r="K76" s="121">
        <v>0</v>
      </c>
      <c r="L76" s="121">
        <v>0</v>
      </c>
      <c r="M76" s="121">
        <v>0</v>
      </c>
      <c r="N76" s="121">
        <f t="shared" si="55"/>
        <v>28180</v>
      </c>
      <c r="O76" s="121">
        <v>28180</v>
      </c>
      <c r="P76" s="121">
        <v>42169</v>
      </c>
      <c r="Q76" s="121">
        <v>58026</v>
      </c>
      <c r="R76" s="121">
        <v>56932</v>
      </c>
      <c r="S76" s="121">
        <v>33511</v>
      </c>
      <c r="T76" s="121">
        <v>33511</v>
      </c>
      <c r="U76" s="121">
        <v>25453</v>
      </c>
      <c r="V76" s="121">
        <v>17824</v>
      </c>
      <c r="W76" s="121">
        <v>32101</v>
      </c>
      <c r="X76" s="121">
        <v>26134</v>
      </c>
      <c r="Y76" s="121">
        <f t="shared" si="66"/>
        <v>26134</v>
      </c>
      <c r="Z76" s="121">
        <v>26452</v>
      </c>
      <c r="AA76" s="121"/>
      <c r="AB76" s="121"/>
      <c r="AC76" s="121"/>
      <c r="AD76" s="121">
        <f>Z76</f>
        <v>26452</v>
      </c>
    </row>
    <row r="77" spans="1:30">
      <c r="A77" s="156" t="s">
        <v>218</v>
      </c>
      <c r="B77" s="126" t="s">
        <v>4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f t="shared" si="55"/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1">
        <v>36756</v>
      </c>
      <c r="W77" s="121">
        <v>36756</v>
      </c>
      <c r="X77" s="121">
        <v>15526</v>
      </c>
      <c r="Y77" s="121">
        <f t="shared" si="66"/>
        <v>15526</v>
      </c>
      <c r="Z77" s="121">
        <v>0</v>
      </c>
      <c r="AA77" s="121"/>
      <c r="AB77" s="121"/>
      <c r="AC77" s="121"/>
      <c r="AD77" s="121">
        <f>Z77</f>
        <v>0</v>
      </c>
    </row>
    <row r="78" spans="1:30">
      <c r="A78" s="135" t="s">
        <v>13</v>
      </c>
      <c r="B78" s="126" t="s">
        <v>4</v>
      </c>
      <c r="C78" s="121">
        <f t="shared" ref="C78:K78" si="67">SUM(C79:C97)</f>
        <v>5104605.4772344911</v>
      </c>
      <c r="D78" s="121">
        <f t="shared" si="67"/>
        <v>5284594.1718482366</v>
      </c>
      <c r="E78" s="121">
        <f t="shared" si="67"/>
        <v>5295621.3503142651</v>
      </c>
      <c r="F78" s="121">
        <f t="shared" si="67"/>
        <v>5218901.6988340998</v>
      </c>
      <c r="G78" s="121">
        <f t="shared" si="67"/>
        <v>2978110</v>
      </c>
      <c r="H78" s="121">
        <f t="shared" si="67"/>
        <v>3009393</v>
      </c>
      <c r="I78" s="121">
        <f t="shared" si="67"/>
        <v>3087253</v>
      </c>
      <c r="J78" s="121">
        <f t="shared" si="67"/>
        <v>2889075</v>
      </c>
      <c r="K78" s="121">
        <f t="shared" si="67"/>
        <v>2858093</v>
      </c>
      <c r="L78" s="121">
        <f t="shared" ref="L78:M78" si="68">SUM(L79:L97)</f>
        <v>2921962</v>
      </c>
      <c r="M78" s="121">
        <f t="shared" si="68"/>
        <v>2803662</v>
      </c>
      <c r="N78" s="121">
        <f t="shared" si="55"/>
        <v>3579214</v>
      </c>
      <c r="O78" s="121">
        <f t="shared" ref="O78:S78" si="69">SUM(O79:O97)</f>
        <v>3579214</v>
      </c>
      <c r="P78" s="121">
        <f t="shared" si="69"/>
        <v>3544389</v>
      </c>
      <c r="Q78" s="121">
        <f t="shared" si="69"/>
        <v>3638730</v>
      </c>
      <c r="R78" s="121">
        <f t="shared" si="69"/>
        <v>3666844</v>
      </c>
      <c r="S78" s="121">
        <f t="shared" si="69"/>
        <v>3625620</v>
      </c>
      <c r="T78" s="121">
        <v>3625620</v>
      </c>
      <c r="U78" s="121">
        <f t="shared" ref="U78:Y78" si="70">SUM(U79:U97)</f>
        <v>3825584</v>
      </c>
      <c r="V78" s="121">
        <f t="shared" si="70"/>
        <v>3716232</v>
      </c>
      <c r="W78" s="121">
        <f t="shared" si="70"/>
        <v>3692438</v>
      </c>
      <c r="X78" s="121">
        <f t="shared" si="70"/>
        <v>3497650</v>
      </c>
      <c r="Y78" s="121">
        <f t="shared" si="70"/>
        <v>3497650</v>
      </c>
      <c r="Z78" s="121">
        <f t="shared" ref="Z78:AD78" si="71">SUM(Z79:Z97)</f>
        <v>3419737</v>
      </c>
      <c r="AA78" s="121">
        <f t="shared" si="71"/>
        <v>0</v>
      </c>
      <c r="AB78" s="121">
        <f t="shared" si="71"/>
        <v>0</v>
      </c>
      <c r="AC78" s="121">
        <f t="shared" si="71"/>
        <v>0</v>
      </c>
      <c r="AD78" s="121">
        <f t="shared" si="71"/>
        <v>3419737</v>
      </c>
    </row>
    <row r="79" spans="1:30">
      <c r="A79" s="156" t="s">
        <v>136</v>
      </c>
      <c r="B79" s="126" t="s">
        <v>4</v>
      </c>
      <c r="C79" s="121">
        <v>15786.7557593</v>
      </c>
      <c r="D79" s="121">
        <v>8273.7105173</v>
      </c>
      <c r="E79" s="121">
        <v>10035.507325999999</v>
      </c>
      <c r="F79" s="121">
        <v>10069.014626</v>
      </c>
      <c r="G79" s="121">
        <v>8151</v>
      </c>
      <c r="H79" s="121">
        <v>5935</v>
      </c>
      <c r="I79" s="121">
        <v>5753</v>
      </c>
      <c r="J79" s="121">
        <v>6298</v>
      </c>
      <c r="K79" s="121">
        <v>5799</v>
      </c>
      <c r="L79" s="121">
        <v>6554</v>
      </c>
      <c r="M79" s="121">
        <v>7201</v>
      </c>
      <c r="N79" s="121">
        <f t="shared" si="55"/>
        <v>6156</v>
      </c>
      <c r="O79" s="121">
        <v>6156</v>
      </c>
      <c r="P79" s="121">
        <v>6654</v>
      </c>
      <c r="Q79" s="121">
        <v>37197</v>
      </c>
      <c r="R79" s="121">
        <v>37591</v>
      </c>
      <c r="S79" s="121">
        <v>38620</v>
      </c>
      <c r="T79" s="121">
        <v>38620</v>
      </c>
      <c r="U79" s="121">
        <v>39699</v>
      </c>
      <c r="V79" s="121">
        <v>40778</v>
      </c>
      <c r="W79" s="121">
        <v>41918</v>
      </c>
      <c r="X79" s="121">
        <v>43283</v>
      </c>
      <c r="Y79" s="121">
        <f t="shared" ref="Y79:Y97" si="72">X79</f>
        <v>43283</v>
      </c>
      <c r="Z79" s="121">
        <v>6744</v>
      </c>
      <c r="AA79" s="121"/>
      <c r="AB79" s="121"/>
      <c r="AC79" s="121"/>
      <c r="AD79" s="121">
        <f>Z79</f>
        <v>6744</v>
      </c>
    </row>
    <row r="80" spans="1:30">
      <c r="A80" s="156" t="s">
        <v>114</v>
      </c>
      <c r="B80" s="126" t="s">
        <v>4</v>
      </c>
      <c r="C80" s="121">
        <v>552.60017999999968</v>
      </c>
      <c r="D80" s="121">
        <v>342.40953000000025</v>
      </c>
      <c r="E80" s="121">
        <v>5234.2104400000007</v>
      </c>
      <c r="F80" s="121">
        <v>4723.7489699999996</v>
      </c>
      <c r="G80" s="121">
        <v>4155</v>
      </c>
      <c r="H80" s="121">
        <v>2890</v>
      </c>
      <c r="I80" s="121">
        <v>1877</v>
      </c>
      <c r="J80" s="121">
        <v>3635</v>
      </c>
      <c r="K80" s="121">
        <v>3486</v>
      </c>
      <c r="L80" s="121">
        <v>3034</v>
      </c>
      <c r="M80" s="121">
        <v>2357</v>
      </c>
      <c r="N80" s="121">
        <f t="shared" si="55"/>
        <v>2076</v>
      </c>
      <c r="O80" s="121">
        <v>2076</v>
      </c>
      <c r="P80" s="121">
        <v>1862</v>
      </c>
      <c r="Q80" s="121">
        <v>1645</v>
      </c>
      <c r="R80" s="121">
        <v>1436</v>
      </c>
      <c r="S80" s="121">
        <v>1225</v>
      </c>
      <c r="T80" s="121">
        <v>1225</v>
      </c>
      <c r="U80" s="121">
        <v>956</v>
      </c>
      <c r="V80" s="121">
        <v>687</v>
      </c>
      <c r="W80" s="121">
        <v>637</v>
      </c>
      <c r="X80" s="121">
        <v>1086</v>
      </c>
      <c r="Y80" s="121">
        <f t="shared" si="72"/>
        <v>1086</v>
      </c>
      <c r="Z80" s="121">
        <v>904</v>
      </c>
      <c r="AA80" s="121"/>
      <c r="AB80" s="121"/>
      <c r="AC80" s="121"/>
      <c r="AD80" s="121">
        <f>Z80</f>
        <v>904</v>
      </c>
    </row>
    <row r="81" spans="1:30">
      <c r="A81" s="156" t="s">
        <v>188</v>
      </c>
      <c r="B81" s="126" t="s">
        <v>4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33891</v>
      </c>
      <c r="L81" s="121">
        <v>31372</v>
      </c>
      <c r="M81" s="121">
        <v>0</v>
      </c>
      <c r="N81" s="121">
        <f t="shared" si="55"/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0</v>
      </c>
      <c r="T81" s="121">
        <v>0</v>
      </c>
      <c r="U81" s="121">
        <v>0</v>
      </c>
      <c r="V81" s="121">
        <v>0</v>
      </c>
      <c r="W81" s="121">
        <v>0</v>
      </c>
      <c r="X81" s="121">
        <v>0</v>
      </c>
      <c r="Y81" s="121">
        <f t="shared" si="72"/>
        <v>0</v>
      </c>
      <c r="Z81" s="121"/>
      <c r="AA81" s="121"/>
      <c r="AB81" s="121"/>
      <c r="AC81" s="121"/>
      <c r="AD81" s="121">
        <f>Z81</f>
        <v>0</v>
      </c>
    </row>
    <row r="82" spans="1:30">
      <c r="A82" s="156" t="s">
        <v>113</v>
      </c>
      <c r="B82" s="126" t="s">
        <v>4</v>
      </c>
      <c r="C82" s="121">
        <v>105808.28265586362</v>
      </c>
      <c r="D82" s="121">
        <v>15688.023285769181</v>
      </c>
      <c r="E82" s="121">
        <v>23826.50753639418</v>
      </c>
      <c r="F82" s="121">
        <f>319732.65306</f>
        <v>319732.65305999998</v>
      </c>
      <c r="G82" s="121">
        <v>5950</v>
      </c>
      <c r="H82" s="121">
        <v>4400</v>
      </c>
      <c r="I82" s="121">
        <v>26200</v>
      </c>
      <c r="J82" s="121">
        <v>25200</v>
      </c>
      <c r="K82" s="121">
        <v>24950</v>
      </c>
      <c r="L82" s="121">
        <v>24700</v>
      </c>
      <c r="M82" s="121">
        <v>24450</v>
      </c>
      <c r="N82" s="121">
        <f t="shared" si="55"/>
        <v>32664</v>
      </c>
      <c r="O82" s="121">
        <v>32664</v>
      </c>
      <c r="P82" s="121">
        <v>32261</v>
      </c>
      <c r="Q82" s="121">
        <v>32722</v>
      </c>
      <c r="R82" s="121">
        <v>32231</v>
      </c>
      <c r="S82" s="121">
        <v>888</v>
      </c>
      <c r="T82" s="121">
        <v>888</v>
      </c>
      <c r="U82" s="121">
        <v>881</v>
      </c>
      <c r="V82" s="121">
        <v>839</v>
      </c>
      <c r="W82" s="121">
        <v>845</v>
      </c>
      <c r="X82" s="121">
        <v>853</v>
      </c>
      <c r="Y82" s="121">
        <f t="shared" si="72"/>
        <v>853</v>
      </c>
      <c r="Z82" s="121">
        <v>861</v>
      </c>
      <c r="AA82" s="121"/>
      <c r="AB82" s="121"/>
      <c r="AC82" s="121"/>
      <c r="AD82" s="121">
        <f>Z82</f>
        <v>861</v>
      </c>
    </row>
    <row r="83" spans="1:30">
      <c r="A83" s="156" t="s">
        <v>115</v>
      </c>
      <c r="B83" s="126" t="s">
        <v>4</v>
      </c>
      <c r="C83" s="121">
        <v>40208.647709999976</v>
      </c>
      <c r="D83" s="121">
        <v>16314.0463</v>
      </c>
      <c r="E83" s="121">
        <v>7750.8530599999995</v>
      </c>
      <c r="F83" s="121">
        <v>6745.0197900000003</v>
      </c>
      <c r="G83" s="121">
        <v>40288</v>
      </c>
      <c r="H83" s="121">
        <v>69296</v>
      </c>
      <c r="I83" s="121">
        <v>86876</v>
      </c>
      <c r="J83" s="121">
        <v>0</v>
      </c>
      <c r="K83" s="121">
        <v>0</v>
      </c>
      <c r="L83" s="121">
        <v>0</v>
      </c>
      <c r="M83" s="121"/>
      <c r="N83" s="121">
        <f t="shared" si="55"/>
        <v>28989</v>
      </c>
      <c r="O83" s="121">
        <v>28989</v>
      </c>
      <c r="P83" s="121">
        <v>32359</v>
      </c>
      <c r="Q83" s="121">
        <v>41758</v>
      </c>
      <c r="R83" s="121">
        <v>38041</v>
      </c>
      <c r="S83" s="121">
        <v>28338</v>
      </c>
      <c r="T83" s="121">
        <v>28338</v>
      </c>
      <c r="U83" s="121">
        <v>30415</v>
      </c>
      <c r="V83" s="121">
        <v>40395</v>
      </c>
      <c r="W83" s="121">
        <v>36304</v>
      </c>
      <c r="X83" s="121">
        <v>33603</v>
      </c>
      <c r="Y83" s="121">
        <f t="shared" si="72"/>
        <v>33603</v>
      </c>
      <c r="Z83" s="121">
        <v>31438</v>
      </c>
      <c r="AA83" s="121"/>
      <c r="AB83" s="121"/>
      <c r="AC83" s="121"/>
      <c r="AD83" s="121">
        <f>Z83</f>
        <v>31438</v>
      </c>
    </row>
    <row r="84" spans="1:30">
      <c r="A84" s="156" t="s">
        <v>194</v>
      </c>
      <c r="B84" s="126" t="s">
        <v>4</v>
      </c>
      <c r="C84" s="137">
        <v>0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37">
        <v>2613</v>
      </c>
      <c r="N84" s="137">
        <f t="shared" si="55"/>
        <v>640564</v>
      </c>
      <c r="O84" s="137">
        <v>640564</v>
      </c>
      <c r="P84" s="137">
        <v>673921</v>
      </c>
      <c r="Q84" s="137">
        <v>674363</v>
      </c>
      <c r="R84" s="137">
        <v>683031</v>
      </c>
      <c r="S84" s="137">
        <v>668065</v>
      </c>
      <c r="T84" s="137">
        <v>668065</v>
      </c>
      <c r="U84" s="137">
        <v>676342</v>
      </c>
      <c r="V84" s="137">
        <v>684692</v>
      </c>
      <c r="W84" s="137">
        <v>694664</v>
      </c>
      <c r="X84" s="137">
        <v>528381</v>
      </c>
      <c r="Y84" s="121">
        <f t="shared" si="72"/>
        <v>528381</v>
      </c>
      <c r="Z84" s="137">
        <v>520729</v>
      </c>
      <c r="AA84" s="137"/>
      <c r="AB84" s="137"/>
      <c r="AC84" s="137"/>
      <c r="AD84" s="121">
        <f>Z84</f>
        <v>520729</v>
      </c>
    </row>
    <row r="85" spans="1:30">
      <c r="A85" s="156" t="s">
        <v>39</v>
      </c>
      <c r="B85" s="126" t="s">
        <v>4</v>
      </c>
      <c r="C85" s="137">
        <v>43624.952649548999</v>
      </c>
      <c r="D85" s="137">
        <v>44104.612829999998</v>
      </c>
      <c r="E85" s="137">
        <v>22705.3778141</v>
      </c>
      <c r="F85" s="137">
        <v>80253.151669999992</v>
      </c>
      <c r="G85" s="137">
        <v>9671</v>
      </c>
      <c r="H85" s="137">
        <v>264350</v>
      </c>
      <c r="I85" s="137">
        <v>137238</v>
      </c>
      <c r="J85" s="137">
        <v>48970</v>
      </c>
      <c r="K85" s="137">
        <v>48216</v>
      </c>
      <c r="L85" s="137">
        <v>125668</v>
      </c>
      <c r="M85" s="137">
        <v>125018</v>
      </c>
      <c r="N85" s="137">
        <f t="shared" si="55"/>
        <v>125449</v>
      </c>
      <c r="O85" s="137">
        <v>125449</v>
      </c>
      <c r="P85" s="137">
        <v>128758</v>
      </c>
      <c r="Q85" s="137">
        <v>134213</v>
      </c>
      <c r="R85" s="137">
        <v>152012</v>
      </c>
      <c r="S85" s="137">
        <v>148983</v>
      </c>
      <c r="T85" s="137">
        <v>148983</v>
      </c>
      <c r="U85" s="137">
        <v>153516</v>
      </c>
      <c r="V85" s="137">
        <v>38886</v>
      </c>
      <c r="W85" s="137">
        <v>39532</v>
      </c>
      <c r="X85" s="137">
        <v>41788</v>
      </c>
      <c r="Y85" s="121">
        <f t="shared" si="72"/>
        <v>41788</v>
      </c>
      <c r="Z85" s="137">
        <v>41182</v>
      </c>
      <c r="AA85" s="137"/>
      <c r="AB85" s="137"/>
      <c r="AC85" s="137"/>
      <c r="AD85" s="121">
        <f>Z85</f>
        <v>41182</v>
      </c>
    </row>
    <row r="86" spans="1:30">
      <c r="A86" s="156" t="s">
        <v>137</v>
      </c>
      <c r="B86" s="126" t="s">
        <v>4</v>
      </c>
      <c r="C86" s="121">
        <v>44769.330959999999</v>
      </c>
      <c r="D86" s="121">
        <v>49410.851240000004</v>
      </c>
      <c r="E86" s="121">
        <v>58058.164750000011</v>
      </c>
      <c r="F86" s="121">
        <v>68502.277920000008</v>
      </c>
      <c r="G86" s="121">
        <v>72728</v>
      </c>
      <c r="H86" s="121">
        <v>74022</v>
      </c>
      <c r="I86" s="121">
        <v>70968</v>
      </c>
      <c r="J86" s="121">
        <v>67623</v>
      </c>
      <c r="K86" s="121">
        <v>69574</v>
      </c>
      <c r="L86" s="121">
        <v>67365</v>
      </c>
      <c r="M86" s="121">
        <v>69166</v>
      </c>
      <c r="N86" s="121">
        <f t="shared" si="55"/>
        <v>69703</v>
      </c>
      <c r="O86" s="121">
        <v>69703</v>
      </c>
      <c r="P86" s="121">
        <v>73027</v>
      </c>
      <c r="Q86" s="121">
        <v>74442</v>
      </c>
      <c r="R86" s="121">
        <v>82432</v>
      </c>
      <c r="S86" s="121">
        <v>84958</v>
      </c>
      <c r="T86" s="121">
        <v>84958</v>
      </c>
      <c r="U86" s="121">
        <v>81233</v>
      </c>
      <c r="V86" s="121">
        <v>81707</v>
      </c>
      <c r="W86" s="121">
        <v>81906</v>
      </c>
      <c r="X86" s="121">
        <v>83050</v>
      </c>
      <c r="Y86" s="121">
        <f t="shared" si="72"/>
        <v>83050</v>
      </c>
      <c r="Z86" s="121">
        <v>74872</v>
      </c>
      <c r="AA86" s="121"/>
      <c r="AB86" s="121"/>
      <c r="AC86" s="121"/>
      <c r="AD86" s="121">
        <f>Z86</f>
        <v>74872</v>
      </c>
    </row>
    <row r="87" spans="1:30">
      <c r="A87" s="156" t="s">
        <v>138</v>
      </c>
      <c r="B87" s="126" t="s">
        <v>4</v>
      </c>
      <c r="C87" s="116">
        <v>0</v>
      </c>
      <c r="D87" s="116">
        <v>0</v>
      </c>
      <c r="E87" s="116">
        <v>0</v>
      </c>
      <c r="F87" s="116">
        <v>0</v>
      </c>
      <c r="G87" s="116">
        <v>26555</v>
      </c>
      <c r="H87" s="121">
        <v>14926</v>
      </c>
      <c r="I87" s="121">
        <v>16612</v>
      </c>
      <c r="J87" s="121">
        <v>24705</v>
      </c>
      <c r="K87" s="121">
        <v>25625</v>
      </c>
      <c r="L87" s="121">
        <v>21754</v>
      </c>
      <c r="M87" s="121">
        <v>5033</v>
      </c>
      <c r="N87" s="121">
        <f t="shared" si="55"/>
        <v>7272</v>
      </c>
      <c r="O87" s="121">
        <v>7272</v>
      </c>
      <c r="P87" s="121">
        <v>4975</v>
      </c>
      <c r="Q87" s="121">
        <v>10015</v>
      </c>
      <c r="R87" s="121">
        <v>8077</v>
      </c>
      <c r="S87" s="121">
        <v>8173</v>
      </c>
      <c r="T87" s="121">
        <v>8173</v>
      </c>
      <c r="U87" s="121">
        <v>8558</v>
      </c>
      <c r="V87" s="121">
        <v>9300</v>
      </c>
      <c r="W87" s="121">
        <v>1034</v>
      </c>
      <c r="X87" s="121">
        <v>4308</v>
      </c>
      <c r="Y87" s="121">
        <f t="shared" si="72"/>
        <v>4308</v>
      </c>
      <c r="Z87" s="121">
        <v>1022</v>
      </c>
      <c r="AA87" s="121"/>
      <c r="AB87" s="121"/>
      <c r="AC87" s="121"/>
      <c r="AD87" s="121">
        <f>Z87</f>
        <v>1022</v>
      </c>
    </row>
    <row r="88" spans="1:30">
      <c r="A88" s="156" t="s">
        <v>116</v>
      </c>
      <c r="B88" s="126" t="s">
        <v>4</v>
      </c>
      <c r="C88" s="121">
        <v>18138.011645200004</v>
      </c>
      <c r="D88" s="121">
        <v>27765.920742214497</v>
      </c>
      <c r="E88" s="121">
        <v>28220.486612114488</v>
      </c>
      <c r="F88" s="121">
        <v>68037.666989400008</v>
      </c>
      <c r="G88" s="121">
        <v>38675</v>
      </c>
      <c r="H88" s="121">
        <v>33346</v>
      </c>
      <c r="I88" s="121">
        <v>51435</v>
      </c>
      <c r="J88" s="121">
        <v>31430</v>
      </c>
      <c r="K88" s="121">
        <v>0</v>
      </c>
      <c r="L88" s="121">
        <v>0</v>
      </c>
      <c r="M88" s="121">
        <v>26573</v>
      </c>
      <c r="N88" s="121">
        <f t="shared" si="55"/>
        <v>58886</v>
      </c>
      <c r="O88" s="121">
        <v>58886</v>
      </c>
      <c r="P88" s="121">
        <v>57711</v>
      </c>
      <c r="Q88" s="121">
        <v>42648</v>
      </c>
      <c r="R88" s="121">
        <v>40836</v>
      </c>
      <c r="S88" s="121">
        <v>37699</v>
      </c>
      <c r="T88" s="121">
        <v>37699</v>
      </c>
      <c r="U88" s="121">
        <v>47237</v>
      </c>
      <c r="V88" s="121">
        <v>45234</v>
      </c>
      <c r="W88" s="121">
        <v>25138</v>
      </c>
      <c r="X88" s="121">
        <v>25216</v>
      </c>
      <c r="Y88" s="121">
        <f t="shared" si="72"/>
        <v>25216</v>
      </c>
      <c r="Z88" s="121">
        <v>25137</v>
      </c>
      <c r="AA88" s="121"/>
      <c r="AB88" s="121"/>
      <c r="AC88" s="121"/>
      <c r="AD88" s="121">
        <f>Z88</f>
        <v>25137</v>
      </c>
    </row>
    <row r="89" spans="1:30">
      <c r="A89" s="156" t="s">
        <v>139</v>
      </c>
      <c r="B89" s="126" t="s">
        <v>4</v>
      </c>
      <c r="C89" s="121">
        <v>0</v>
      </c>
      <c r="D89" s="121">
        <v>0</v>
      </c>
      <c r="E89" s="121">
        <v>0</v>
      </c>
      <c r="F89" s="121">
        <v>25587.653739999994</v>
      </c>
      <c r="G89" s="121">
        <v>17157</v>
      </c>
      <c r="H89" s="121">
        <v>9623</v>
      </c>
      <c r="I89" s="121">
        <v>4782</v>
      </c>
      <c r="J89" s="121">
        <v>2561</v>
      </c>
      <c r="K89" s="121">
        <v>2525</v>
      </c>
      <c r="L89" s="121">
        <v>2492</v>
      </c>
      <c r="M89" s="121">
        <v>285</v>
      </c>
      <c r="N89" s="121">
        <f t="shared" si="55"/>
        <v>0</v>
      </c>
      <c r="O89" s="121">
        <v>0</v>
      </c>
      <c r="P89" s="121">
        <v>0</v>
      </c>
      <c r="Q89" s="121">
        <v>0</v>
      </c>
      <c r="R89" s="121">
        <v>0</v>
      </c>
      <c r="S89" s="121">
        <v>0</v>
      </c>
      <c r="T89" s="121">
        <v>0</v>
      </c>
      <c r="U89" s="121">
        <v>0</v>
      </c>
      <c r="V89" s="121">
        <v>0</v>
      </c>
      <c r="W89" s="121">
        <v>0</v>
      </c>
      <c r="X89" s="121">
        <v>0</v>
      </c>
      <c r="Y89" s="121">
        <f t="shared" si="72"/>
        <v>0</v>
      </c>
      <c r="Z89" s="121"/>
      <c r="AA89" s="121"/>
      <c r="AB89" s="121"/>
      <c r="AC89" s="121"/>
      <c r="AD89" s="121">
        <f>Z89</f>
        <v>0</v>
      </c>
    </row>
    <row r="90" spans="1:30">
      <c r="A90" s="156" t="s">
        <v>140</v>
      </c>
      <c r="B90" s="126" t="s">
        <v>4</v>
      </c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>
        <v>0</v>
      </c>
      <c r="T90" s="121">
        <v>0</v>
      </c>
      <c r="U90" s="121">
        <v>0</v>
      </c>
      <c r="V90" s="121">
        <v>0</v>
      </c>
      <c r="W90" s="121">
        <v>0</v>
      </c>
      <c r="X90" s="121">
        <v>0</v>
      </c>
      <c r="Y90" s="121">
        <f t="shared" si="72"/>
        <v>0</v>
      </c>
      <c r="Z90" s="121"/>
      <c r="AA90" s="121"/>
      <c r="AB90" s="121"/>
      <c r="AC90" s="121"/>
      <c r="AD90" s="121">
        <f>Z90</f>
        <v>0</v>
      </c>
    </row>
    <row r="91" spans="1:30">
      <c r="A91" s="156" t="s">
        <v>141</v>
      </c>
      <c r="B91" s="126" t="s">
        <v>4</v>
      </c>
      <c r="C91" s="121">
        <v>310304.64068516699</v>
      </c>
      <c r="D91" s="121">
        <v>385302.22255296406</v>
      </c>
      <c r="E91" s="121">
        <v>492730.68939335691</v>
      </c>
      <c r="F91" s="121">
        <v>151852.28185000003</v>
      </c>
      <c r="G91" s="121">
        <v>0</v>
      </c>
      <c r="H91" s="121">
        <v>0</v>
      </c>
      <c r="I91" s="121">
        <v>0</v>
      </c>
      <c r="J91" s="121">
        <v>0</v>
      </c>
      <c r="K91" s="121">
        <v>0</v>
      </c>
      <c r="L91" s="121">
        <v>0</v>
      </c>
      <c r="M91" s="121">
        <v>0</v>
      </c>
      <c r="N91" s="121">
        <f>O91</f>
        <v>0</v>
      </c>
      <c r="O91" s="121">
        <v>0</v>
      </c>
      <c r="P91" s="121">
        <v>0</v>
      </c>
      <c r="Q91" s="121">
        <v>0</v>
      </c>
      <c r="R91" s="121">
        <v>0</v>
      </c>
      <c r="S91" s="121">
        <v>0</v>
      </c>
      <c r="T91" s="121">
        <v>0</v>
      </c>
      <c r="U91" s="121">
        <v>0</v>
      </c>
      <c r="V91" s="121">
        <v>0</v>
      </c>
      <c r="W91" s="121">
        <v>0</v>
      </c>
      <c r="X91" s="121">
        <v>0</v>
      </c>
      <c r="Y91" s="121">
        <f t="shared" si="72"/>
        <v>0</v>
      </c>
      <c r="Z91" s="121"/>
      <c r="AA91" s="121"/>
      <c r="AB91" s="121"/>
      <c r="AC91" s="121"/>
      <c r="AD91" s="121">
        <f>Z91</f>
        <v>0</v>
      </c>
    </row>
    <row r="92" spans="1:30">
      <c r="A92" s="156" t="s">
        <v>189</v>
      </c>
      <c r="B92" s="126" t="s">
        <v>4</v>
      </c>
      <c r="C92" s="121">
        <v>7.6725805999999919</v>
      </c>
      <c r="D92" s="121">
        <v>7.4146063999999932</v>
      </c>
      <c r="E92" s="121">
        <v>7.4146063999999932</v>
      </c>
      <c r="F92" s="121">
        <v>7.3990516999992941</v>
      </c>
      <c r="G92" s="121">
        <v>8</v>
      </c>
      <c r="H92" s="121">
        <v>8</v>
      </c>
      <c r="I92" s="121">
        <v>8</v>
      </c>
      <c r="J92" s="121">
        <v>8</v>
      </c>
      <c r="K92" s="121">
        <v>8</v>
      </c>
      <c r="L92" s="121">
        <v>109</v>
      </c>
      <c r="M92" s="121">
        <v>98</v>
      </c>
      <c r="N92" s="121">
        <f>O92</f>
        <v>82</v>
      </c>
      <c r="O92" s="121">
        <v>82</v>
      </c>
      <c r="P92" s="121">
        <v>88</v>
      </c>
      <c r="Q92" s="121">
        <v>70</v>
      </c>
      <c r="R92" s="121">
        <v>60</v>
      </c>
      <c r="S92" s="121">
        <v>98</v>
      </c>
      <c r="T92" s="121">
        <v>98</v>
      </c>
      <c r="U92" s="121">
        <v>120</v>
      </c>
      <c r="V92" s="121">
        <v>85</v>
      </c>
      <c r="W92" s="121">
        <v>114</v>
      </c>
      <c r="X92" s="121">
        <v>140</v>
      </c>
      <c r="Y92" s="121">
        <f t="shared" si="72"/>
        <v>140</v>
      </c>
      <c r="Z92" s="121">
        <v>162</v>
      </c>
      <c r="AA92" s="121"/>
      <c r="AB92" s="121"/>
      <c r="AC92" s="121"/>
      <c r="AD92" s="121">
        <f>Z92</f>
        <v>162</v>
      </c>
    </row>
    <row r="93" spans="1:30">
      <c r="A93" s="156" t="s">
        <v>14</v>
      </c>
      <c r="B93" s="126" t="s">
        <v>4</v>
      </c>
      <c r="C93" s="121">
        <v>3090469.3602788122</v>
      </c>
      <c r="D93" s="121">
        <v>3298682.1844269224</v>
      </c>
      <c r="E93" s="121">
        <v>3215185.2853359003</v>
      </c>
      <c r="F93" s="121">
        <v>3054253.1016370002</v>
      </c>
      <c r="G93" s="121">
        <v>2283940</v>
      </c>
      <c r="H93" s="121">
        <v>2013592</v>
      </c>
      <c r="I93" s="121">
        <v>1943824</v>
      </c>
      <c r="J93" s="121">
        <v>2010050</v>
      </c>
      <c r="K93" s="121">
        <v>1996273</v>
      </c>
      <c r="L93" s="121">
        <v>2009430</v>
      </c>
      <c r="M93" s="121">
        <v>1939923</v>
      </c>
      <c r="N93" s="121">
        <f>O93</f>
        <v>1994860</v>
      </c>
      <c r="O93" s="121">
        <v>1994860</v>
      </c>
      <c r="P93" s="121">
        <v>1930913</v>
      </c>
      <c r="Q93" s="121">
        <v>1944839</v>
      </c>
      <c r="R93" s="121">
        <v>1970313</v>
      </c>
      <c r="S93" s="121">
        <v>1998069</v>
      </c>
      <c r="T93" s="121">
        <v>1998069</v>
      </c>
      <c r="U93" s="121">
        <v>1980559</v>
      </c>
      <c r="V93" s="121">
        <v>1966470</v>
      </c>
      <c r="W93" s="121">
        <v>1986263</v>
      </c>
      <c r="X93" s="121">
        <v>1972036</v>
      </c>
      <c r="Y93" s="121">
        <f t="shared" si="72"/>
        <v>1972036</v>
      </c>
      <c r="Z93" s="121">
        <v>1970418</v>
      </c>
      <c r="AA93" s="121"/>
      <c r="AB93" s="121"/>
      <c r="AC93" s="121"/>
      <c r="AD93" s="121">
        <f>Z93</f>
        <v>1970418</v>
      </c>
    </row>
    <row r="94" spans="1:30">
      <c r="A94" s="156" t="s">
        <v>143</v>
      </c>
      <c r="B94" s="126" t="s">
        <v>4</v>
      </c>
      <c r="C94" s="121">
        <v>0</v>
      </c>
      <c r="D94" s="121">
        <v>0</v>
      </c>
      <c r="E94" s="121">
        <v>0</v>
      </c>
      <c r="F94" s="121">
        <v>0</v>
      </c>
      <c r="G94" s="121">
        <v>0</v>
      </c>
      <c r="H94" s="121">
        <v>0</v>
      </c>
      <c r="I94" s="121">
        <v>246040</v>
      </c>
      <c r="J94" s="121">
        <v>224727</v>
      </c>
      <c r="K94" s="121">
        <v>206727</v>
      </c>
      <c r="L94" s="121">
        <v>191558</v>
      </c>
      <c r="M94" s="121">
        <v>163263</v>
      </c>
      <c r="N94" s="121">
        <f>O94</f>
        <v>136904</v>
      </c>
      <c r="O94" s="121">
        <v>136904</v>
      </c>
      <c r="P94" s="121">
        <v>111375</v>
      </c>
      <c r="Q94" s="121">
        <v>155255</v>
      </c>
      <c r="R94" s="121">
        <v>130827</v>
      </c>
      <c r="S94" s="121">
        <v>112394</v>
      </c>
      <c r="T94" s="121">
        <v>112394</v>
      </c>
      <c r="U94" s="121">
        <v>303996</v>
      </c>
      <c r="V94" s="121">
        <v>293175</v>
      </c>
      <c r="W94" s="121">
        <v>272023</v>
      </c>
      <c r="X94" s="121">
        <v>255917</v>
      </c>
      <c r="Y94" s="121">
        <f t="shared" si="72"/>
        <v>255917</v>
      </c>
      <c r="Z94" s="121">
        <v>237788</v>
      </c>
      <c r="AA94" s="121"/>
      <c r="AB94" s="121"/>
      <c r="AC94" s="121"/>
      <c r="AD94" s="121">
        <f>Z94</f>
        <v>237788</v>
      </c>
    </row>
    <row r="95" spans="1:30">
      <c r="A95" s="156" t="s">
        <v>144</v>
      </c>
      <c r="B95" s="126" t="s">
        <v>4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>
        <f t="shared" si="72"/>
        <v>0</v>
      </c>
      <c r="Z95" s="121"/>
      <c r="AA95" s="121"/>
      <c r="AB95" s="121"/>
      <c r="AC95" s="121"/>
      <c r="AD95" s="121">
        <f>Z95</f>
        <v>0</v>
      </c>
    </row>
    <row r="96" spans="1:30">
      <c r="A96" s="156" t="s">
        <v>145</v>
      </c>
      <c r="B96" s="126" t="s">
        <v>4</v>
      </c>
      <c r="C96" s="121">
        <v>1158900</v>
      </c>
      <c r="D96" s="121">
        <v>1266896.2361799998</v>
      </c>
      <c r="E96" s="121">
        <v>1266896.2361799998</v>
      </c>
      <c r="F96" s="121">
        <v>1266896.23618</v>
      </c>
      <c r="G96" s="121">
        <v>301312</v>
      </c>
      <c r="H96" s="121">
        <v>301312</v>
      </c>
      <c r="I96" s="121">
        <v>301312</v>
      </c>
      <c r="J96" s="121">
        <v>301312</v>
      </c>
      <c r="K96" s="121">
        <v>301312</v>
      </c>
      <c r="L96" s="121">
        <v>301312</v>
      </c>
      <c r="M96" s="121">
        <v>301312</v>
      </c>
      <c r="N96" s="121">
        <f t="shared" ref="N96:N132" si="73">O96</f>
        <v>301312</v>
      </c>
      <c r="O96" s="121">
        <v>301312</v>
      </c>
      <c r="P96" s="121">
        <v>301312</v>
      </c>
      <c r="Q96" s="121">
        <v>301312</v>
      </c>
      <c r="R96" s="121">
        <v>301312</v>
      </c>
      <c r="S96" s="121">
        <v>301312</v>
      </c>
      <c r="T96" s="121">
        <v>301312</v>
      </c>
      <c r="U96" s="121">
        <v>301312</v>
      </c>
      <c r="V96" s="121">
        <v>301312</v>
      </c>
      <c r="W96" s="121">
        <v>301312</v>
      </c>
      <c r="X96" s="121">
        <v>301312</v>
      </c>
      <c r="Y96" s="121">
        <f t="shared" si="72"/>
        <v>301312</v>
      </c>
      <c r="Z96" s="121">
        <v>301312</v>
      </c>
      <c r="AA96" s="121"/>
      <c r="AB96" s="121"/>
      <c r="AC96" s="121"/>
      <c r="AD96" s="121">
        <f>Z96</f>
        <v>301312</v>
      </c>
    </row>
    <row r="97" spans="1:30">
      <c r="A97" s="156" t="s">
        <v>146</v>
      </c>
      <c r="B97" s="126" t="s">
        <v>4</v>
      </c>
      <c r="C97" s="121">
        <v>276035.22212999966</v>
      </c>
      <c r="D97" s="121">
        <v>171806.53963666665</v>
      </c>
      <c r="E97" s="121">
        <v>164970.6172599995</v>
      </c>
      <c r="F97" s="121">
        <v>162241.49335000012</v>
      </c>
      <c r="G97" s="121">
        <v>169520</v>
      </c>
      <c r="H97" s="121">
        <v>215693</v>
      </c>
      <c r="I97" s="121">
        <v>194328</v>
      </c>
      <c r="J97" s="121">
        <v>142556</v>
      </c>
      <c r="K97" s="121">
        <v>139707</v>
      </c>
      <c r="L97" s="121">
        <v>136614</v>
      </c>
      <c r="M97" s="121">
        <v>136370</v>
      </c>
      <c r="N97" s="121">
        <f t="shared" si="73"/>
        <v>174297</v>
      </c>
      <c r="O97" s="121">
        <v>174297</v>
      </c>
      <c r="P97" s="121">
        <v>189173</v>
      </c>
      <c r="Q97" s="121">
        <v>188251</v>
      </c>
      <c r="R97" s="121">
        <v>188645</v>
      </c>
      <c r="S97" s="121">
        <v>196798</v>
      </c>
      <c r="T97" s="121">
        <v>196798</v>
      </c>
      <c r="U97" s="121">
        <v>200760</v>
      </c>
      <c r="V97" s="121">
        <v>212672</v>
      </c>
      <c r="W97" s="121">
        <v>210748</v>
      </c>
      <c r="X97" s="121">
        <v>206677</v>
      </c>
      <c r="Y97" s="121">
        <f t="shared" si="72"/>
        <v>206677</v>
      </c>
      <c r="Z97" s="121">
        <v>207168</v>
      </c>
      <c r="AA97" s="121"/>
      <c r="AB97" s="121"/>
      <c r="AC97" s="121"/>
      <c r="AD97" s="121">
        <f>Z97</f>
        <v>207168</v>
      </c>
    </row>
    <row r="98" spans="1:30">
      <c r="A98" s="132" t="s">
        <v>15</v>
      </c>
      <c r="B98" s="132" t="s">
        <v>4</v>
      </c>
      <c r="C98" s="124">
        <f t="shared" ref="C98:L98" si="74">SUM(C99,C111,C131)</f>
        <v>7165521.425820455</v>
      </c>
      <c r="D98" s="124">
        <f t="shared" si="74"/>
        <v>7253365.2151653944</v>
      </c>
      <c r="E98" s="124">
        <f t="shared" si="74"/>
        <v>7327382.0444055814</v>
      </c>
      <c r="F98" s="124">
        <f t="shared" si="74"/>
        <v>6771543.9082314111</v>
      </c>
      <c r="G98" s="124">
        <f t="shared" si="74"/>
        <v>3852690</v>
      </c>
      <c r="H98" s="124">
        <f t="shared" si="74"/>
        <v>3746565</v>
      </c>
      <c r="I98" s="124">
        <f t="shared" si="74"/>
        <v>3928438</v>
      </c>
      <c r="J98" s="124">
        <f t="shared" si="74"/>
        <v>3889785</v>
      </c>
      <c r="K98" s="124">
        <f t="shared" si="74"/>
        <v>3931137</v>
      </c>
      <c r="L98" s="124">
        <f t="shared" si="74"/>
        <v>4076741</v>
      </c>
      <c r="M98" s="124">
        <f>SUM(M99,M111,M131)</f>
        <v>4924596</v>
      </c>
      <c r="N98" s="124">
        <f t="shared" si="73"/>
        <v>4816696</v>
      </c>
      <c r="O98" s="124">
        <f>SUM(O99,O111,O131)</f>
        <v>4816696</v>
      </c>
      <c r="P98" s="124">
        <f t="shared" ref="P98:Q98" si="75">SUM(P99,P111,P131)</f>
        <v>4862860</v>
      </c>
      <c r="Q98" s="124">
        <f t="shared" si="75"/>
        <v>4865921</v>
      </c>
      <c r="R98" s="124">
        <f>SUM(R99,R111,R131)</f>
        <v>5083090</v>
      </c>
      <c r="S98" s="124">
        <f>SUM(S99,S111,S131)</f>
        <v>5060411</v>
      </c>
      <c r="T98" s="124">
        <v>5060411</v>
      </c>
      <c r="U98" s="124">
        <f t="shared" ref="U98:V98" si="76">SUM(U99,U111,U131)</f>
        <v>5092991</v>
      </c>
      <c r="V98" s="124">
        <f t="shared" si="76"/>
        <v>5039571</v>
      </c>
      <c r="W98" s="124">
        <f>SUM(W99,W111,W131)</f>
        <v>5187862</v>
      </c>
      <c r="X98" s="124">
        <f>SUM(X99,X111,X131)</f>
        <v>5008231</v>
      </c>
      <c r="Y98" s="124">
        <f>SUM(Y99,Y111,Y131)</f>
        <v>5008231</v>
      </c>
      <c r="Z98" s="124">
        <f t="shared" ref="Z98:AA98" si="77">SUM(Z99,Z111,Z131)</f>
        <v>4763713</v>
      </c>
      <c r="AA98" s="124">
        <f t="shared" si="77"/>
        <v>0</v>
      </c>
      <c r="AB98" s="124">
        <f>SUM(AB99,AB111,AB131)</f>
        <v>0</v>
      </c>
      <c r="AC98" s="124">
        <f>SUM(AC99,AC111,AC131)</f>
        <v>0</v>
      </c>
      <c r="AD98" s="124">
        <f>SUM(AD99,AD111,AD131)</f>
        <v>4763713</v>
      </c>
    </row>
    <row r="99" spans="1:30">
      <c r="A99" s="135" t="s">
        <v>11</v>
      </c>
      <c r="B99" s="126" t="s">
        <v>4</v>
      </c>
      <c r="C99" s="121">
        <f t="shared" ref="C99:K99" si="78">SUM(C100:C110)</f>
        <v>685220.92291107925</v>
      </c>
      <c r="D99" s="121">
        <f t="shared" si="78"/>
        <v>1275319.1955039902</v>
      </c>
      <c r="E99" s="121">
        <f t="shared" si="78"/>
        <v>1558706.5560846822</v>
      </c>
      <c r="F99" s="121">
        <f t="shared" si="78"/>
        <v>1517740.6908305411</v>
      </c>
      <c r="G99" s="121">
        <f t="shared" si="78"/>
        <v>1898418</v>
      </c>
      <c r="H99" s="121">
        <f t="shared" si="78"/>
        <v>1253690</v>
      </c>
      <c r="I99" s="121">
        <f t="shared" si="78"/>
        <v>1445361</v>
      </c>
      <c r="J99" s="121">
        <f t="shared" si="78"/>
        <v>887786</v>
      </c>
      <c r="K99" s="121">
        <f t="shared" si="78"/>
        <v>848207</v>
      </c>
      <c r="L99" s="121">
        <f t="shared" ref="L99:M99" si="79">SUM(L100:L110)</f>
        <v>945635</v>
      </c>
      <c r="M99" s="121">
        <f t="shared" si="79"/>
        <v>897714</v>
      </c>
      <c r="N99" s="121">
        <f t="shared" si="73"/>
        <v>940763</v>
      </c>
      <c r="O99" s="121">
        <f t="shared" ref="O99:R99" si="80">SUM(O100:O110)</f>
        <v>940763</v>
      </c>
      <c r="P99" s="121">
        <f t="shared" si="80"/>
        <v>1046512</v>
      </c>
      <c r="Q99" s="121">
        <f t="shared" si="80"/>
        <v>1243289</v>
      </c>
      <c r="R99" s="121">
        <f t="shared" si="80"/>
        <v>1428861</v>
      </c>
      <c r="S99" s="121">
        <f t="shared" ref="S99" si="81">SUM(S100:S110)</f>
        <v>1671353</v>
      </c>
      <c r="T99" s="121">
        <v>1671353</v>
      </c>
      <c r="U99" s="121">
        <f t="shared" ref="U99:X99" si="82">SUM(U100:U110)</f>
        <v>1622750</v>
      </c>
      <c r="V99" s="121">
        <f t="shared" si="82"/>
        <v>1950593</v>
      </c>
      <c r="W99" s="121">
        <f t="shared" si="82"/>
        <v>2119727</v>
      </c>
      <c r="X99" s="121">
        <f t="shared" si="82"/>
        <v>2582697</v>
      </c>
      <c r="Y99" s="121">
        <f t="shared" ref="Y99:AC99" si="83">SUM(Y100:Y110)</f>
        <v>2582697</v>
      </c>
      <c r="Z99" s="121">
        <f t="shared" si="83"/>
        <v>2401199</v>
      </c>
      <c r="AA99" s="121">
        <f t="shared" si="83"/>
        <v>0</v>
      </c>
      <c r="AB99" s="121">
        <f t="shared" si="83"/>
        <v>0</v>
      </c>
      <c r="AC99" s="121">
        <f t="shared" si="83"/>
        <v>0</v>
      </c>
      <c r="AD99" s="121">
        <f t="shared" ref="AD99" si="84">SUM(AD100:AD110)</f>
        <v>2401199</v>
      </c>
    </row>
    <row r="100" spans="1:30">
      <c r="A100" s="156" t="s">
        <v>147</v>
      </c>
      <c r="B100" s="126" t="s">
        <v>4</v>
      </c>
      <c r="C100" s="121">
        <v>265054.41135211388</v>
      </c>
      <c r="D100" s="121">
        <v>195834.08650300017</v>
      </c>
      <c r="E100" s="121">
        <v>171944.16674869892</v>
      </c>
      <c r="F100" s="121">
        <v>138470.42982029996</v>
      </c>
      <c r="G100" s="121">
        <v>282498</v>
      </c>
      <c r="H100" s="121">
        <v>400039</v>
      </c>
      <c r="I100" s="121">
        <v>284943</v>
      </c>
      <c r="J100" s="116">
        <v>394216</v>
      </c>
      <c r="K100" s="116">
        <v>387058</v>
      </c>
      <c r="L100" s="116">
        <v>415121</v>
      </c>
      <c r="M100" s="116">
        <v>437297</v>
      </c>
      <c r="N100" s="116">
        <f t="shared" si="73"/>
        <v>585102</v>
      </c>
      <c r="O100" s="116">
        <v>585102</v>
      </c>
      <c r="P100" s="116">
        <v>582593</v>
      </c>
      <c r="Q100" s="116">
        <v>607628</v>
      </c>
      <c r="R100" s="116">
        <v>661202</v>
      </c>
      <c r="S100" s="116">
        <v>859820</v>
      </c>
      <c r="T100" s="116">
        <v>859820</v>
      </c>
      <c r="U100" s="116">
        <v>644499</v>
      </c>
      <c r="V100" s="116">
        <v>612647</v>
      </c>
      <c r="W100" s="116">
        <v>603364</v>
      </c>
      <c r="X100" s="116">
        <v>558909</v>
      </c>
      <c r="Y100" s="121">
        <f>X100</f>
        <v>558909</v>
      </c>
      <c r="Z100" s="116">
        <v>435441</v>
      </c>
      <c r="AA100" s="116"/>
      <c r="AB100" s="116"/>
      <c r="AC100" s="116"/>
      <c r="AD100" s="121">
        <f>Z100</f>
        <v>435441</v>
      </c>
    </row>
    <row r="101" spans="1:30">
      <c r="A101" s="156" t="s">
        <v>148</v>
      </c>
      <c r="B101" s="126" t="s">
        <v>4</v>
      </c>
      <c r="C101" s="116">
        <v>2151</v>
      </c>
      <c r="D101" s="116">
        <v>2135</v>
      </c>
      <c r="E101" s="116">
        <v>1585</v>
      </c>
      <c r="F101" s="116">
        <v>419231</v>
      </c>
      <c r="G101" s="121">
        <v>419482</v>
      </c>
      <c r="H101" s="121">
        <v>469743</v>
      </c>
      <c r="I101" s="121">
        <v>719975</v>
      </c>
      <c r="J101" s="121">
        <v>0</v>
      </c>
      <c r="K101" s="121">
        <v>0</v>
      </c>
      <c r="L101" s="121">
        <v>0</v>
      </c>
      <c r="M101" s="121">
        <v>0</v>
      </c>
      <c r="N101" s="121">
        <f t="shared" si="73"/>
        <v>0</v>
      </c>
      <c r="O101" s="121">
        <v>0</v>
      </c>
      <c r="P101" s="121"/>
      <c r="Q101" s="121">
        <v>267637</v>
      </c>
      <c r="R101" s="121">
        <v>267697</v>
      </c>
      <c r="S101" s="121">
        <v>470279</v>
      </c>
      <c r="T101" s="121">
        <v>470279</v>
      </c>
      <c r="U101" s="121">
        <v>470381</v>
      </c>
      <c r="V101" s="121">
        <v>672998</v>
      </c>
      <c r="W101" s="121">
        <v>673101</v>
      </c>
      <c r="X101" s="121">
        <v>1010730</v>
      </c>
      <c r="Y101" s="121">
        <f t="shared" ref="Y101:Y130" si="85">X101</f>
        <v>1010730</v>
      </c>
      <c r="Z101" s="121">
        <v>1010859</v>
      </c>
      <c r="AA101" s="121"/>
      <c r="AB101" s="121"/>
      <c r="AC101" s="121"/>
      <c r="AD101" s="121">
        <f>Z101</f>
        <v>1010859</v>
      </c>
    </row>
    <row r="102" spans="1:30">
      <c r="A102" s="156" t="s">
        <v>149</v>
      </c>
      <c r="B102" s="126" t="s">
        <v>4</v>
      </c>
      <c r="C102" s="116">
        <f>49731+7317</f>
        <v>57048</v>
      </c>
      <c r="D102" s="116">
        <f>188800+7590</f>
        <v>196390</v>
      </c>
      <c r="E102" s="116">
        <f>8442+37625</f>
        <v>46067</v>
      </c>
      <c r="F102" s="116">
        <v>43722.902092299999</v>
      </c>
      <c r="G102" s="121">
        <v>333967</v>
      </c>
      <c r="H102" s="121">
        <v>13719</v>
      </c>
      <c r="I102" s="121">
        <v>13883</v>
      </c>
      <c r="J102" s="121">
        <v>13667</v>
      </c>
      <c r="K102" s="121">
        <v>13378</v>
      </c>
      <c r="L102" s="121">
        <v>13329</v>
      </c>
      <c r="M102" s="121">
        <v>13428</v>
      </c>
      <c r="N102" s="121">
        <f t="shared" si="73"/>
        <v>23457</v>
      </c>
      <c r="O102" s="121">
        <v>23457</v>
      </c>
      <c r="P102" s="121">
        <v>23821</v>
      </c>
      <c r="Q102" s="121">
        <v>24167</v>
      </c>
      <c r="R102" s="121">
        <v>24521</v>
      </c>
      <c r="S102" s="121">
        <v>54235</v>
      </c>
      <c r="T102" s="121">
        <v>54235</v>
      </c>
      <c r="U102" s="121">
        <v>54000</v>
      </c>
      <c r="V102" s="121">
        <v>53681</v>
      </c>
      <c r="W102" s="121">
        <v>56703</v>
      </c>
      <c r="X102" s="121">
        <v>61693</v>
      </c>
      <c r="Y102" s="121">
        <f t="shared" si="85"/>
        <v>61693</v>
      </c>
      <c r="Z102" s="121">
        <v>19957</v>
      </c>
      <c r="AA102" s="121"/>
      <c r="AB102" s="121"/>
      <c r="AC102" s="121"/>
      <c r="AD102" s="121">
        <f>Z102</f>
        <v>19957</v>
      </c>
    </row>
    <row r="103" spans="1:30">
      <c r="A103" s="156" t="s">
        <v>150</v>
      </c>
      <c r="B103" s="126" t="s">
        <v>4</v>
      </c>
      <c r="C103" s="116">
        <v>137712</v>
      </c>
      <c r="D103" s="116">
        <v>165296</v>
      </c>
      <c r="E103" s="116">
        <v>195732</v>
      </c>
      <c r="F103" s="116">
        <v>194517.9</v>
      </c>
      <c r="G103" s="121">
        <v>92595</v>
      </c>
      <c r="H103" s="121">
        <v>65662</v>
      </c>
      <c r="I103" s="121">
        <v>33117</v>
      </c>
      <c r="J103" s="121">
        <v>6108</v>
      </c>
      <c r="K103" s="121">
        <v>29687</v>
      </c>
      <c r="L103" s="121">
        <v>8118</v>
      </c>
      <c r="M103" s="121">
        <v>45499</v>
      </c>
      <c r="N103" s="121">
        <f t="shared" si="73"/>
        <v>22667</v>
      </c>
      <c r="O103" s="121">
        <v>22667</v>
      </c>
      <c r="P103" s="121">
        <v>114049</v>
      </c>
      <c r="Q103" s="121">
        <v>25663</v>
      </c>
      <c r="R103" s="121">
        <v>142754</v>
      </c>
      <c r="S103" s="121">
        <v>28439</v>
      </c>
      <c r="T103" s="121">
        <v>28439</v>
      </c>
      <c r="U103" s="121">
        <v>143175</v>
      </c>
      <c r="V103" s="121">
        <v>258861</v>
      </c>
      <c r="W103" s="121">
        <v>383810</v>
      </c>
      <c r="X103" s="121">
        <v>499765</v>
      </c>
      <c r="Y103" s="121">
        <f t="shared" si="85"/>
        <v>499765</v>
      </c>
      <c r="Z103" s="121">
        <v>613411</v>
      </c>
      <c r="AA103" s="121"/>
      <c r="AB103" s="121"/>
      <c r="AC103" s="121"/>
      <c r="AD103" s="121">
        <f>Z103</f>
        <v>613411</v>
      </c>
    </row>
    <row r="104" spans="1:30">
      <c r="A104" s="156" t="s">
        <v>120</v>
      </c>
      <c r="B104" s="126" t="s">
        <v>4</v>
      </c>
      <c r="C104" s="137">
        <v>109034.45472522263</v>
      </c>
      <c r="D104" s="137">
        <v>96049.987249590558</v>
      </c>
      <c r="E104" s="137">
        <v>115373.45932280675</v>
      </c>
      <c r="F104" s="137">
        <v>113680.74028172388</v>
      </c>
      <c r="G104" s="137">
        <v>99382</v>
      </c>
      <c r="H104" s="137">
        <v>160091</v>
      </c>
      <c r="I104" s="137">
        <v>141506</v>
      </c>
      <c r="J104" s="137">
        <v>164084</v>
      </c>
      <c r="K104" s="137">
        <v>183901</v>
      </c>
      <c r="L104" s="137">
        <v>213100</v>
      </c>
      <c r="M104" s="137">
        <v>194943</v>
      </c>
      <c r="N104" s="137">
        <f t="shared" si="73"/>
        <v>107226</v>
      </c>
      <c r="O104" s="137">
        <v>107226</v>
      </c>
      <c r="P104" s="137">
        <v>108416</v>
      </c>
      <c r="Q104" s="137">
        <v>102671</v>
      </c>
      <c r="R104" s="137">
        <v>104789</v>
      </c>
      <c r="S104" s="137">
        <v>99263</v>
      </c>
      <c r="T104" s="137">
        <v>99263</v>
      </c>
      <c r="U104" s="137">
        <v>103821</v>
      </c>
      <c r="V104" s="137">
        <v>116224</v>
      </c>
      <c r="W104" s="137">
        <v>132819</v>
      </c>
      <c r="X104" s="137">
        <v>129593</v>
      </c>
      <c r="Y104" s="121">
        <f t="shared" si="85"/>
        <v>129593</v>
      </c>
      <c r="Z104" s="137">
        <v>104556</v>
      </c>
      <c r="AA104" s="137"/>
      <c r="AB104" s="137"/>
      <c r="AC104" s="137"/>
      <c r="AD104" s="121">
        <f>Z104</f>
        <v>104556</v>
      </c>
    </row>
    <row r="105" spans="1:30">
      <c r="A105" s="156" t="s">
        <v>151</v>
      </c>
      <c r="B105" s="126" t="s">
        <v>4</v>
      </c>
      <c r="C105" s="137">
        <v>61806.402100090527</v>
      </c>
      <c r="D105" s="137">
        <v>57013.56221107328</v>
      </c>
      <c r="E105" s="137">
        <v>42161.999099377543</v>
      </c>
      <c r="F105" s="137">
        <v>46558.089479399998</v>
      </c>
      <c r="G105" s="137">
        <v>52281</v>
      </c>
      <c r="H105" s="137">
        <v>49398</v>
      </c>
      <c r="I105" s="137">
        <v>45343</v>
      </c>
      <c r="J105" s="137">
        <v>71755</v>
      </c>
      <c r="K105" s="137">
        <v>74047</v>
      </c>
      <c r="L105" s="137">
        <v>50160</v>
      </c>
      <c r="M105" s="137">
        <v>62542</v>
      </c>
      <c r="N105" s="137">
        <f t="shared" si="73"/>
        <v>66642</v>
      </c>
      <c r="O105" s="137">
        <v>66642</v>
      </c>
      <c r="P105" s="137">
        <v>75641</v>
      </c>
      <c r="Q105" s="137">
        <v>59347</v>
      </c>
      <c r="R105" s="137">
        <v>71847</v>
      </c>
      <c r="S105" s="137">
        <v>63408</v>
      </c>
      <c r="T105" s="137">
        <v>63408</v>
      </c>
      <c r="U105" s="137">
        <v>82304</v>
      </c>
      <c r="V105" s="137">
        <v>57579</v>
      </c>
      <c r="W105" s="137">
        <v>67148</v>
      </c>
      <c r="X105" s="137">
        <v>55935</v>
      </c>
      <c r="Y105" s="121">
        <f t="shared" si="85"/>
        <v>55935</v>
      </c>
      <c r="Z105" s="137">
        <v>53096</v>
      </c>
      <c r="AA105" s="137"/>
      <c r="AB105" s="137"/>
      <c r="AC105" s="137"/>
      <c r="AD105" s="121">
        <f>Z105</f>
        <v>53096</v>
      </c>
    </row>
    <row r="106" spans="1:30">
      <c r="A106" s="156" t="s">
        <v>190</v>
      </c>
      <c r="B106" s="126" t="s">
        <v>4</v>
      </c>
      <c r="C106" s="121">
        <v>591.11965999999848</v>
      </c>
      <c r="D106" s="121">
        <v>590.81956000000002</v>
      </c>
      <c r="E106" s="121">
        <v>0</v>
      </c>
      <c r="F106" s="121">
        <v>6751.7415450000008</v>
      </c>
      <c r="G106" s="121">
        <v>143180</v>
      </c>
      <c r="H106" s="121">
        <v>0</v>
      </c>
      <c r="I106" s="121">
        <v>0</v>
      </c>
      <c r="J106" s="121">
        <v>6845</v>
      </c>
      <c r="K106" s="121">
        <v>6845</v>
      </c>
      <c r="L106" s="121">
        <v>97000</v>
      </c>
      <c r="M106" s="121">
        <v>0</v>
      </c>
      <c r="N106" s="121">
        <f t="shared" si="73"/>
        <v>0</v>
      </c>
      <c r="O106" s="121">
        <v>0</v>
      </c>
      <c r="P106" s="121">
        <v>19792</v>
      </c>
      <c r="Q106" s="121">
        <v>0</v>
      </c>
      <c r="R106" s="121">
        <v>0</v>
      </c>
      <c r="S106" s="121">
        <v>0</v>
      </c>
      <c r="T106" s="121">
        <v>0</v>
      </c>
      <c r="U106" s="121">
        <v>16638</v>
      </c>
      <c r="V106" s="121">
        <v>37869</v>
      </c>
      <c r="W106" s="121">
        <v>37869</v>
      </c>
      <c r="X106" s="121">
        <v>92663</v>
      </c>
      <c r="Y106" s="121">
        <f t="shared" si="85"/>
        <v>92663</v>
      </c>
      <c r="Z106" s="121">
        <v>45553</v>
      </c>
      <c r="AA106" s="121"/>
      <c r="AB106" s="121"/>
      <c r="AC106" s="121"/>
      <c r="AD106" s="121">
        <f>Z106</f>
        <v>45553</v>
      </c>
    </row>
    <row r="107" spans="1:30">
      <c r="A107" s="156" t="s">
        <v>153</v>
      </c>
      <c r="B107" s="126" t="s">
        <v>4</v>
      </c>
      <c r="C107" s="121">
        <v>7733.3138599999984</v>
      </c>
      <c r="D107" s="121">
        <v>9099.1705699999984</v>
      </c>
      <c r="E107" s="121">
        <v>8594.8226699999996</v>
      </c>
      <c r="F107" s="121">
        <v>7975.1468610000002</v>
      </c>
      <c r="G107" s="121">
        <v>8530</v>
      </c>
      <c r="H107" s="121">
        <v>6827</v>
      </c>
      <c r="I107" s="121">
        <v>8599</v>
      </c>
      <c r="J107" s="121">
        <v>7086</v>
      </c>
      <c r="K107" s="121">
        <v>7534</v>
      </c>
      <c r="L107" s="121">
        <v>8853</v>
      </c>
      <c r="M107" s="121">
        <v>8303</v>
      </c>
      <c r="N107" s="121">
        <f t="shared" si="73"/>
        <v>9140</v>
      </c>
      <c r="O107" s="121">
        <v>9140</v>
      </c>
      <c r="P107" s="121">
        <v>10312</v>
      </c>
      <c r="Q107" s="121">
        <v>47281</v>
      </c>
      <c r="R107" s="121">
        <v>59302</v>
      </c>
      <c r="S107" s="121">
        <v>11769</v>
      </c>
      <c r="T107" s="121">
        <v>11769</v>
      </c>
      <c r="U107" s="121">
        <v>10688</v>
      </c>
      <c r="V107" s="121">
        <v>12333</v>
      </c>
      <c r="W107" s="121">
        <v>15729</v>
      </c>
      <c r="X107" s="121">
        <v>11030</v>
      </c>
      <c r="Y107" s="121">
        <f t="shared" si="85"/>
        <v>11030</v>
      </c>
      <c r="Z107" s="121">
        <v>9744</v>
      </c>
      <c r="AA107" s="121"/>
      <c r="AB107" s="121"/>
      <c r="AC107" s="121"/>
      <c r="AD107" s="121">
        <f>Z107</f>
        <v>9744</v>
      </c>
    </row>
    <row r="108" spans="1:30">
      <c r="A108" s="156" t="s">
        <v>113</v>
      </c>
      <c r="B108" s="126" t="s">
        <v>4</v>
      </c>
      <c r="C108" s="121">
        <v>40646.452587057</v>
      </c>
      <c r="D108" s="121">
        <v>478643.86440089112</v>
      </c>
      <c r="E108" s="121">
        <v>660562.98424596502</v>
      </c>
      <c r="F108" s="121">
        <v>468949.52387371717</v>
      </c>
      <c r="G108" s="121">
        <v>437274</v>
      </c>
      <c r="H108" s="121">
        <v>54910</v>
      </c>
      <c r="I108" s="121">
        <v>46890</v>
      </c>
      <c r="J108" s="121">
        <v>67877</v>
      </c>
      <c r="K108" s="145" t="s">
        <v>43</v>
      </c>
      <c r="L108" s="121">
        <v>0</v>
      </c>
      <c r="M108" s="121">
        <v>0</v>
      </c>
      <c r="N108" s="121">
        <f t="shared" si="73"/>
        <v>0</v>
      </c>
      <c r="O108" s="121">
        <v>0</v>
      </c>
      <c r="P108" s="145">
        <v>0</v>
      </c>
      <c r="Q108" s="121">
        <v>0</v>
      </c>
      <c r="R108" s="121">
        <v>0</v>
      </c>
      <c r="S108" s="121">
        <v>0</v>
      </c>
      <c r="T108" s="121">
        <v>0</v>
      </c>
      <c r="U108" s="121">
        <v>0</v>
      </c>
      <c r="V108" s="121">
        <v>0</v>
      </c>
      <c r="W108" s="121">
        <v>0</v>
      </c>
      <c r="X108" s="121">
        <v>0</v>
      </c>
      <c r="Y108" s="121">
        <f t="shared" si="85"/>
        <v>0</v>
      </c>
      <c r="Z108" s="121">
        <v>0</v>
      </c>
      <c r="AA108" s="121"/>
      <c r="AB108" s="121"/>
      <c r="AC108" s="121"/>
      <c r="AD108" s="121">
        <f>Z108</f>
        <v>0</v>
      </c>
    </row>
    <row r="109" spans="1:30">
      <c r="A109" s="156" t="s">
        <v>154</v>
      </c>
      <c r="B109" s="126" t="s">
        <v>4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21">
        <v>0</v>
      </c>
      <c r="I109" s="121">
        <v>112275</v>
      </c>
      <c r="J109" s="121">
        <v>110908</v>
      </c>
      <c r="K109" s="121">
        <v>114719</v>
      </c>
      <c r="L109" s="121">
        <v>111373</v>
      </c>
      <c r="M109" s="121">
        <v>105807</v>
      </c>
      <c r="N109" s="121">
        <f t="shared" si="73"/>
        <v>99864</v>
      </c>
      <c r="O109" s="121">
        <v>99864</v>
      </c>
      <c r="P109" s="121">
        <v>83939</v>
      </c>
      <c r="Q109" s="121">
        <v>76263</v>
      </c>
      <c r="R109" s="121">
        <v>61445</v>
      </c>
      <c r="S109" s="121">
        <v>47004</v>
      </c>
      <c r="T109" s="121">
        <v>47004</v>
      </c>
      <c r="U109" s="121">
        <v>67717</v>
      </c>
      <c r="V109" s="121">
        <v>66711</v>
      </c>
      <c r="W109" s="121">
        <v>62326</v>
      </c>
      <c r="X109" s="121">
        <v>58924</v>
      </c>
      <c r="Y109" s="121">
        <f t="shared" si="85"/>
        <v>58924</v>
      </c>
      <c r="Z109" s="121">
        <v>58541</v>
      </c>
      <c r="AA109" s="121"/>
      <c r="AB109" s="121"/>
      <c r="AC109" s="121"/>
      <c r="AD109" s="121">
        <f>Z109</f>
        <v>58541</v>
      </c>
    </row>
    <row r="110" spans="1:30">
      <c r="A110" s="156" t="s">
        <v>36</v>
      </c>
      <c r="B110" s="126" t="s">
        <v>4</v>
      </c>
      <c r="C110" s="121">
        <v>3443.7686265953084</v>
      </c>
      <c r="D110" s="121">
        <v>74266.705009434983</v>
      </c>
      <c r="E110" s="121">
        <v>316685.12399783416</v>
      </c>
      <c r="F110" s="121">
        <v>77883.216877100087</v>
      </c>
      <c r="G110" s="121">
        <v>29229</v>
      </c>
      <c r="H110" s="121">
        <v>33301</v>
      </c>
      <c r="I110" s="121">
        <v>38830</v>
      </c>
      <c r="J110" s="121">
        <v>45240</v>
      </c>
      <c r="K110" s="121">
        <v>31038</v>
      </c>
      <c r="L110" s="121">
        <v>28581</v>
      </c>
      <c r="M110" s="121">
        <v>29895</v>
      </c>
      <c r="N110" s="121">
        <f t="shared" si="73"/>
        <v>26665</v>
      </c>
      <c r="O110" s="121">
        <v>26665</v>
      </c>
      <c r="P110" s="121">
        <v>27949</v>
      </c>
      <c r="Q110" s="121">
        <v>32632</v>
      </c>
      <c r="R110" s="121">
        <v>35304</v>
      </c>
      <c r="S110" s="121">
        <v>37136</v>
      </c>
      <c r="T110" s="121">
        <v>37136</v>
      </c>
      <c r="U110" s="121">
        <v>29527</v>
      </c>
      <c r="V110" s="121">
        <v>61690</v>
      </c>
      <c r="W110" s="121">
        <v>86858</v>
      </c>
      <c r="X110" s="121">
        <v>103455</v>
      </c>
      <c r="Y110" s="121">
        <f t="shared" si="85"/>
        <v>103455</v>
      </c>
      <c r="Z110" s="121">
        <v>50041</v>
      </c>
      <c r="AA110" s="121"/>
      <c r="AB110" s="121"/>
      <c r="AC110" s="121"/>
      <c r="AD110" s="121">
        <f>Z110</f>
        <v>50041</v>
      </c>
    </row>
    <row r="111" spans="1:30">
      <c r="A111" s="135" t="s">
        <v>13</v>
      </c>
      <c r="B111" s="126" t="s">
        <v>4</v>
      </c>
      <c r="C111" s="137">
        <f t="shared" ref="C111:K111" si="86">SUM(C112:C122)</f>
        <v>4052242.2836077991</v>
      </c>
      <c r="D111" s="137">
        <f t="shared" si="86"/>
        <v>3430945.0858331891</v>
      </c>
      <c r="E111" s="137">
        <f t="shared" si="86"/>
        <v>3376749.359158969</v>
      </c>
      <c r="F111" s="137">
        <f t="shared" si="86"/>
        <v>3002939.4556065761</v>
      </c>
      <c r="G111" s="137">
        <f t="shared" si="86"/>
        <v>2106806</v>
      </c>
      <c r="H111" s="137">
        <f t="shared" si="86"/>
        <v>2042306</v>
      </c>
      <c r="I111" s="137">
        <f t="shared" si="86"/>
        <v>1687418</v>
      </c>
      <c r="J111" s="137">
        <f t="shared" si="86"/>
        <v>2304863</v>
      </c>
      <c r="K111" s="137">
        <f t="shared" si="86"/>
        <v>2267494</v>
      </c>
      <c r="L111" s="137">
        <f t="shared" ref="L111:M111" si="87">SUM(L112:L122)</f>
        <v>2254448</v>
      </c>
      <c r="M111" s="137">
        <f t="shared" si="87"/>
        <v>3176775</v>
      </c>
      <c r="N111" s="137">
        <f t="shared" si="73"/>
        <v>2994125</v>
      </c>
      <c r="O111" s="137">
        <f t="shared" ref="O111:S111" si="88">SUM(O112:O122)</f>
        <v>2994125</v>
      </c>
      <c r="P111" s="137">
        <f t="shared" si="88"/>
        <v>2978722</v>
      </c>
      <c r="Q111" s="137">
        <f t="shared" si="88"/>
        <v>2824313</v>
      </c>
      <c r="R111" s="137">
        <f t="shared" si="88"/>
        <v>2827021</v>
      </c>
      <c r="S111" s="137">
        <f t="shared" si="88"/>
        <v>2601564</v>
      </c>
      <c r="T111" s="137">
        <v>2601564</v>
      </c>
      <c r="U111" s="137">
        <f t="shared" ref="U111:X111" si="89">SUM(U112:U122)</f>
        <v>2769850</v>
      </c>
      <c r="V111" s="137">
        <f t="shared" si="89"/>
        <v>2524629</v>
      </c>
      <c r="W111" s="137">
        <f t="shared" si="89"/>
        <v>2526331</v>
      </c>
      <c r="X111" s="137">
        <f t="shared" si="89"/>
        <v>2162474</v>
      </c>
      <c r="Y111" s="137">
        <f>SUM(Y112:Y122)</f>
        <v>2162474</v>
      </c>
      <c r="Z111" s="137">
        <f t="shared" ref="Z111:AC111" si="90">SUM(Z112:Z122)</f>
        <v>2160409</v>
      </c>
      <c r="AA111" s="137">
        <f t="shared" si="90"/>
        <v>0</v>
      </c>
      <c r="AB111" s="137">
        <f t="shared" si="90"/>
        <v>0</v>
      </c>
      <c r="AC111" s="137">
        <f t="shared" si="90"/>
        <v>0</v>
      </c>
      <c r="AD111" s="137">
        <f>SUM(AD112:AD122)</f>
        <v>2160409</v>
      </c>
    </row>
    <row r="112" spans="1:30">
      <c r="A112" s="156" t="s">
        <v>148</v>
      </c>
      <c r="B112" s="126" t="s">
        <v>4</v>
      </c>
      <c r="C112" s="137">
        <v>2695990.1429393999</v>
      </c>
      <c r="D112" s="137">
        <v>2695502.7041774001</v>
      </c>
      <c r="E112" s="137">
        <v>2695536.4451700002</v>
      </c>
      <c r="F112" s="137">
        <v>2099663.1405400001</v>
      </c>
      <c r="G112" s="137">
        <v>1680269</v>
      </c>
      <c r="H112" s="137">
        <v>1410631</v>
      </c>
      <c r="I112" s="137">
        <v>940656</v>
      </c>
      <c r="J112" s="137">
        <v>1700161</v>
      </c>
      <c r="K112" s="137">
        <v>1700161</v>
      </c>
      <c r="L112" s="137">
        <v>1700161</v>
      </c>
      <c r="M112" s="137">
        <v>2690931</v>
      </c>
      <c r="N112" s="137">
        <f t="shared" si="73"/>
        <v>2691542</v>
      </c>
      <c r="O112" s="137">
        <v>2691542</v>
      </c>
      <c r="P112" s="137">
        <v>2692176</v>
      </c>
      <c r="Q112" s="137">
        <v>2425134</v>
      </c>
      <c r="R112" s="137">
        <v>2425677</v>
      </c>
      <c r="S112" s="137">
        <v>2223697</v>
      </c>
      <c r="T112" s="137">
        <v>2223697</v>
      </c>
      <c r="U112" s="137">
        <v>2224186</v>
      </c>
      <c r="V112" s="137">
        <v>2022152</v>
      </c>
      <c r="W112" s="137">
        <v>2022592</v>
      </c>
      <c r="X112" s="137">
        <v>1685495</v>
      </c>
      <c r="Y112" s="121">
        <f t="shared" si="85"/>
        <v>1685495</v>
      </c>
      <c r="Z112" s="137">
        <v>1685854</v>
      </c>
      <c r="AA112" s="137"/>
      <c r="AB112" s="137"/>
      <c r="AC112" s="137"/>
      <c r="AD112" s="121">
        <f>Z112</f>
        <v>1685854</v>
      </c>
    </row>
    <row r="113" spans="1:30">
      <c r="A113" s="156" t="s">
        <v>149</v>
      </c>
      <c r="B113" s="126" t="s">
        <v>4</v>
      </c>
      <c r="C113" s="121">
        <v>740132.50808940001</v>
      </c>
      <c r="D113" s="121">
        <v>271827.47778349998</v>
      </c>
      <c r="E113" s="121">
        <v>266715.9476589</v>
      </c>
      <c r="F113" s="121">
        <v>522015.87516330008</v>
      </c>
      <c r="G113" s="121">
        <v>75675</v>
      </c>
      <c r="H113" s="121">
        <v>263873</v>
      </c>
      <c r="I113" s="121">
        <v>251888</v>
      </c>
      <c r="J113" s="121">
        <v>40918</v>
      </c>
      <c r="K113" s="121">
        <v>38644</v>
      </c>
      <c r="L113" s="121">
        <v>36786</v>
      </c>
      <c r="M113" s="121">
        <v>35006</v>
      </c>
      <c r="N113" s="121">
        <f t="shared" si="73"/>
        <v>18713</v>
      </c>
      <c r="O113" s="121">
        <v>18713</v>
      </c>
      <c r="P113" s="121">
        <v>16502</v>
      </c>
      <c r="Q113" s="121">
        <v>14180</v>
      </c>
      <c r="R113" s="121">
        <v>11057</v>
      </c>
      <c r="S113" s="121">
        <v>49592</v>
      </c>
      <c r="T113" s="121">
        <v>49592</v>
      </c>
      <c r="U113" s="121">
        <v>36312</v>
      </c>
      <c r="V113" s="121">
        <v>23032</v>
      </c>
      <c r="W113" s="121">
        <v>46282</v>
      </c>
      <c r="X113" s="121">
        <v>31653</v>
      </c>
      <c r="Y113" s="121">
        <f t="shared" si="85"/>
        <v>31653</v>
      </c>
      <c r="Z113" s="121">
        <v>26655</v>
      </c>
      <c r="AA113" s="121"/>
      <c r="AB113" s="121"/>
      <c r="AC113" s="121"/>
      <c r="AD113" s="121">
        <f>Z113</f>
        <v>26655</v>
      </c>
    </row>
    <row r="114" spans="1:30">
      <c r="A114" s="156" t="s">
        <v>155</v>
      </c>
      <c r="B114" s="126" t="s">
        <v>4</v>
      </c>
      <c r="C114" s="121">
        <v>49600.271890000011</v>
      </c>
      <c r="D114" s="121">
        <v>46975.119110999993</v>
      </c>
      <c r="E114" s="121">
        <v>52278.692299899987</v>
      </c>
      <c r="F114" s="121">
        <v>52138.170817176135</v>
      </c>
      <c r="G114" s="121">
        <v>45312</v>
      </c>
      <c r="H114" s="121">
        <v>31280</v>
      </c>
      <c r="I114" s="121">
        <v>20479</v>
      </c>
      <c r="J114" s="121">
        <v>66898</v>
      </c>
      <c r="K114" s="121">
        <v>62797</v>
      </c>
      <c r="L114" s="121">
        <v>59959</v>
      </c>
      <c r="M114" s="121">
        <v>28501</v>
      </c>
      <c r="N114" s="121">
        <f t="shared" si="73"/>
        <v>27842</v>
      </c>
      <c r="O114" s="121">
        <v>27842</v>
      </c>
      <c r="P114" s="121">
        <v>25909</v>
      </c>
      <c r="Q114" s="121">
        <v>25041</v>
      </c>
      <c r="R114" s="121">
        <v>34558</v>
      </c>
      <c r="S114" s="121">
        <v>25684</v>
      </c>
      <c r="T114" s="121">
        <v>25684</v>
      </c>
      <c r="U114" s="121">
        <v>26617</v>
      </c>
      <c r="V114" s="121">
        <v>32868</v>
      </c>
      <c r="W114" s="121">
        <v>36530</v>
      </c>
      <c r="X114" s="121">
        <v>39568</v>
      </c>
      <c r="Y114" s="121">
        <f t="shared" si="85"/>
        <v>39568</v>
      </c>
      <c r="Z114" s="121">
        <v>43933</v>
      </c>
      <c r="AA114" s="121"/>
      <c r="AB114" s="121"/>
      <c r="AC114" s="121"/>
      <c r="AD114" s="121">
        <f>Z114</f>
        <v>43933</v>
      </c>
    </row>
    <row r="115" spans="1:30">
      <c r="A115" s="156" t="s">
        <v>156</v>
      </c>
      <c r="B115" s="126" t="s">
        <v>4</v>
      </c>
      <c r="C115" s="121">
        <v>61465.207700000006</v>
      </c>
      <c r="D115" s="121">
        <v>62736.46862</v>
      </c>
      <c r="E115" s="121">
        <v>63405.085520000001</v>
      </c>
      <c r="F115" s="121">
        <v>62537.626509999995</v>
      </c>
      <c r="G115" s="121">
        <v>63608</v>
      </c>
      <c r="H115" s="121">
        <v>27616</v>
      </c>
      <c r="I115" s="121">
        <v>22288</v>
      </c>
      <c r="J115" s="121">
        <v>23677</v>
      </c>
      <c r="K115" s="121">
        <v>25224</v>
      </c>
      <c r="L115" s="121">
        <v>26274</v>
      </c>
      <c r="M115" s="121">
        <v>27426</v>
      </c>
      <c r="N115" s="121">
        <f t="shared" si="73"/>
        <v>28110</v>
      </c>
      <c r="O115" s="121">
        <v>28110</v>
      </c>
      <c r="P115" s="121">
        <v>29669</v>
      </c>
      <c r="Q115" s="121">
        <v>30816</v>
      </c>
      <c r="R115" s="121">
        <v>30759</v>
      </c>
      <c r="S115" s="121">
        <v>30667</v>
      </c>
      <c r="T115" s="121">
        <v>30667</v>
      </c>
      <c r="U115" s="121">
        <v>32119</v>
      </c>
      <c r="V115" s="121">
        <v>32932</v>
      </c>
      <c r="W115" s="121">
        <v>33944</v>
      </c>
      <c r="X115" s="121">
        <v>34674</v>
      </c>
      <c r="Y115" s="121">
        <f t="shared" si="85"/>
        <v>34674</v>
      </c>
      <c r="Z115" s="121">
        <v>35609</v>
      </c>
      <c r="AA115" s="121"/>
      <c r="AB115" s="121"/>
      <c r="AC115" s="121"/>
      <c r="AD115" s="121">
        <f>Z115</f>
        <v>35609</v>
      </c>
    </row>
    <row r="116" spans="1:30">
      <c r="A116" s="156" t="s">
        <v>120</v>
      </c>
      <c r="B116" s="126" t="s">
        <v>4</v>
      </c>
      <c r="C116" s="121">
        <v>23072.478630000001</v>
      </c>
      <c r="D116" s="121">
        <v>22303.627569999997</v>
      </c>
      <c r="E116" s="121">
        <v>21303.14949</v>
      </c>
      <c r="F116" s="121">
        <v>20098.76456</v>
      </c>
      <c r="G116" s="121">
        <v>18134</v>
      </c>
      <c r="H116" s="121">
        <v>15576</v>
      </c>
      <c r="I116" s="121">
        <v>26096</v>
      </c>
      <c r="J116" s="121">
        <v>62789</v>
      </c>
      <c r="K116" s="121">
        <v>52182</v>
      </c>
      <c r="L116" s="121">
        <v>53410</v>
      </c>
      <c r="M116" s="121">
        <v>47135</v>
      </c>
      <c r="N116" s="121">
        <f t="shared" si="73"/>
        <v>41685</v>
      </c>
      <c r="O116" s="121">
        <v>41685</v>
      </c>
      <c r="P116" s="121">
        <v>36757</v>
      </c>
      <c r="Q116" s="121">
        <v>29250</v>
      </c>
      <c r="R116" s="121">
        <v>49369</v>
      </c>
      <c r="S116" s="121">
        <v>32251</v>
      </c>
      <c r="T116" s="121">
        <v>32251</v>
      </c>
      <c r="U116" s="121">
        <v>26991</v>
      </c>
      <c r="V116" s="121">
        <v>22523</v>
      </c>
      <c r="W116" s="121">
        <v>24482</v>
      </c>
      <c r="X116" s="121">
        <v>22539</v>
      </c>
      <c r="Y116" s="121">
        <f t="shared" si="85"/>
        <v>22539</v>
      </c>
      <c r="Z116" s="121">
        <v>34101</v>
      </c>
      <c r="AA116" s="121"/>
      <c r="AB116" s="121"/>
      <c r="AC116" s="121"/>
      <c r="AD116" s="121">
        <f>Z116</f>
        <v>34101</v>
      </c>
    </row>
    <row r="117" spans="1:30">
      <c r="A117" s="156" t="s">
        <v>157</v>
      </c>
      <c r="B117" s="126" t="s">
        <v>4</v>
      </c>
      <c r="C117" s="121">
        <v>294218.81632749928</v>
      </c>
      <c r="D117" s="121">
        <v>301887.22825858858</v>
      </c>
      <c r="E117" s="121">
        <v>241455.76575096842</v>
      </c>
      <c r="F117" s="121">
        <v>212882.39254</v>
      </c>
      <c r="G117" s="121">
        <v>159132</v>
      </c>
      <c r="H117" s="121">
        <v>160404</v>
      </c>
      <c r="I117" s="121">
        <v>161106</v>
      </c>
      <c r="J117" s="121">
        <v>159956</v>
      </c>
      <c r="K117" s="145">
        <v>158049</v>
      </c>
      <c r="L117" s="145">
        <v>154122</v>
      </c>
      <c r="M117" s="145">
        <v>148871</v>
      </c>
      <c r="N117" s="145">
        <f t="shared" si="73"/>
        <v>8024</v>
      </c>
      <c r="O117" s="121">
        <v>8024</v>
      </c>
      <c r="P117" s="145">
        <v>7906</v>
      </c>
      <c r="Q117" s="145">
        <v>7750</v>
      </c>
      <c r="R117" s="145">
        <v>7646</v>
      </c>
      <c r="S117" s="145">
        <v>7545</v>
      </c>
      <c r="T117" s="121">
        <v>7545</v>
      </c>
      <c r="U117" s="121">
        <v>7428</v>
      </c>
      <c r="V117" s="121">
        <v>7327</v>
      </c>
      <c r="W117" s="145">
        <v>7083</v>
      </c>
      <c r="X117" s="145">
        <v>6837</v>
      </c>
      <c r="Y117" s="121">
        <f t="shared" si="85"/>
        <v>6837</v>
      </c>
      <c r="Z117" s="121">
        <v>6693</v>
      </c>
      <c r="AA117" s="121"/>
      <c r="AB117" s="145"/>
      <c r="AC117" s="145"/>
      <c r="AD117" s="121">
        <f>Z117</f>
        <v>6693</v>
      </c>
    </row>
    <row r="118" spans="1:30">
      <c r="A118" s="156" t="s">
        <v>153</v>
      </c>
      <c r="B118" s="126" t="s">
        <v>4</v>
      </c>
      <c r="C118" s="121"/>
      <c r="D118" s="121"/>
      <c r="E118" s="121"/>
      <c r="F118" s="121"/>
      <c r="G118" s="121"/>
      <c r="H118" s="121"/>
      <c r="I118" s="121"/>
      <c r="J118" s="121"/>
      <c r="K118" s="145"/>
      <c r="L118" s="145"/>
      <c r="M118" s="145"/>
      <c r="N118" s="145">
        <f t="shared" si="73"/>
        <v>0</v>
      </c>
      <c r="O118" s="121">
        <v>0</v>
      </c>
      <c r="P118" s="145">
        <v>0</v>
      </c>
      <c r="Q118" s="145">
        <v>66787</v>
      </c>
      <c r="R118" s="145">
        <v>51945</v>
      </c>
      <c r="S118" s="145">
        <v>0</v>
      </c>
      <c r="T118" s="121">
        <v>0</v>
      </c>
      <c r="U118" s="121">
        <v>0</v>
      </c>
      <c r="V118" s="121">
        <v>0</v>
      </c>
      <c r="W118" s="145">
        <v>0</v>
      </c>
      <c r="X118" s="145">
        <v>0</v>
      </c>
      <c r="Y118" s="121">
        <f t="shared" si="85"/>
        <v>0</v>
      </c>
      <c r="Z118" s="121"/>
      <c r="AA118" s="121"/>
      <c r="AB118" s="145"/>
      <c r="AC118" s="145"/>
      <c r="AD118" s="121">
        <f>Z118</f>
        <v>0</v>
      </c>
    </row>
    <row r="119" spans="1:30">
      <c r="A119" s="156" t="s">
        <v>154</v>
      </c>
      <c r="B119" s="126" t="s">
        <v>4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21">
        <v>0</v>
      </c>
      <c r="I119" s="145">
        <v>143354</v>
      </c>
      <c r="J119" s="145">
        <v>131815</v>
      </c>
      <c r="K119" s="145">
        <v>109867</v>
      </c>
      <c r="L119" s="145">
        <v>99049</v>
      </c>
      <c r="M119" s="145">
        <v>76321</v>
      </c>
      <c r="N119" s="145">
        <f t="shared" si="73"/>
        <v>55283</v>
      </c>
      <c r="O119" s="145">
        <v>55283</v>
      </c>
      <c r="P119" s="145">
        <v>41764</v>
      </c>
      <c r="Q119" s="145">
        <v>92459</v>
      </c>
      <c r="R119" s="145">
        <v>82346</v>
      </c>
      <c r="S119" s="145">
        <v>76586</v>
      </c>
      <c r="T119" s="145">
        <v>76586</v>
      </c>
      <c r="U119" s="145">
        <v>250189</v>
      </c>
      <c r="V119" s="145">
        <v>245297</v>
      </c>
      <c r="W119" s="145">
        <v>231305</v>
      </c>
      <c r="X119" s="145">
        <v>220783</v>
      </c>
      <c r="Y119" s="121">
        <f t="shared" si="85"/>
        <v>220783</v>
      </c>
      <c r="Z119" s="145">
        <v>205427</v>
      </c>
      <c r="AA119" s="145"/>
      <c r="AB119" s="145"/>
      <c r="AC119" s="145"/>
      <c r="AD119" s="121">
        <f>Z119</f>
        <v>205427</v>
      </c>
    </row>
    <row r="120" spans="1:30">
      <c r="A120" s="156" t="s">
        <v>175</v>
      </c>
      <c r="B120" s="126" t="s">
        <v>4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21">
        <v>1346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5">
        <f t="shared" si="73"/>
        <v>0</v>
      </c>
      <c r="O120" s="145">
        <v>0</v>
      </c>
      <c r="P120" s="145">
        <v>0</v>
      </c>
      <c r="Q120" s="145">
        <v>0</v>
      </c>
      <c r="R120" s="145">
        <v>0</v>
      </c>
      <c r="S120" s="145">
        <v>0</v>
      </c>
      <c r="T120" s="145">
        <v>0</v>
      </c>
      <c r="U120" s="145">
        <v>0</v>
      </c>
      <c r="V120" s="145">
        <v>0</v>
      </c>
      <c r="W120" s="145">
        <v>0</v>
      </c>
      <c r="X120" s="145">
        <v>0</v>
      </c>
      <c r="Y120" s="121">
        <f t="shared" si="85"/>
        <v>0</v>
      </c>
      <c r="Z120" s="145"/>
      <c r="AA120" s="145"/>
      <c r="AB120" s="145"/>
      <c r="AC120" s="145"/>
      <c r="AD120" s="121">
        <f>Z120</f>
        <v>0</v>
      </c>
    </row>
    <row r="121" spans="1:30">
      <c r="A121" s="156" t="s">
        <v>113</v>
      </c>
      <c r="B121" s="126" t="s">
        <v>4</v>
      </c>
      <c r="C121" s="145">
        <v>152734.81875999999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  <c r="I121" s="145">
        <v>0</v>
      </c>
      <c r="J121" s="145">
        <v>0</v>
      </c>
      <c r="K121" s="145">
        <v>0</v>
      </c>
      <c r="L121" s="145">
        <v>0</v>
      </c>
      <c r="M121" s="145">
        <v>0</v>
      </c>
      <c r="N121" s="145">
        <f t="shared" si="73"/>
        <v>0</v>
      </c>
      <c r="O121" s="145">
        <v>0</v>
      </c>
      <c r="P121" s="145">
        <v>0</v>
      </c>
      <c r="Q121" s="145">
        <v>0</v>
      </c>
      <c r="R121" s="145">
        <v>0</v>
      </c>
      <c r="S121" s="145">
        <v>0</v>
      </c>
      <c r="T121" s="145">
        <v>0</v>
      </c>
      <c r="U121" s="145">
        <v>0</v>
      </c>
      <c r="V121" s="145">
        <v>0</v>
      </c>
      <c r="W121" s="145">
        <v>0</v>
      </c>
      <c r="X121" s="145">
        <v>0</v>
      </c>
      <c r="Y121" s="121">
        <f t="shared" si="85"/>
        <v>0</v>
      </c>
      <c r="Z121" s="145"/>
      <c r="AA121" s="145"/>
      <c r="AB121" s="145"/>
      <c r="AC121" s="145"/>
      <c r="AD121" s="121">
        <f>Z121</f>
        <v>0</v>
      </c>
    </row>
    <row r="122" spans="1:30">
      <c r="A122" s="156" t="s">
        <v>36</v>
      </c>
      <c r="B122" s="126" t="s">
        <v>4</v>
      </c>
      <c r="C122" s="121">
        <v>35028.039271499998</v>
      </c>
      <c r="D122" s="121">
        <v>29712.460312700001</v>
      </c>
      <c r="E122" s="121">
        <v>36054.273269199992</v>
      </c>
      <c r="F122" s="121">
        <v>33603.485476099995</v>
      </c>
      <c r="G122" s="121">
        <v>64676</v>
      </c>
      <c r="H122" s="121">
        <v>131580</v>
      </c>
      <c r="I122" s="121">
        <v>121551</v>
      </c>
      <c r="J122" s="121">
        <v>118649</v>
      </c>
      <c r="K122" s="145">
        <v>120570</v>
      </c>
      <c r="L122" s="145">
        <v>124687</v>
      </c>
      <c r="M122" s="145">
        <v>122584</v>
      </c>
      <c r="N122" s="145">
        <f t="shared" si="73"/>
        <v>122926</v>
      </c>
      <c r="O122" s="121">
        <v>122926</v>
      </c>
      <c r="P122" s="145">
        <v>128039</v>
      </c>
      <c r="Q122" s="145">
        <v>132896</v>
      </c>
      <c r="R122" s="145">
        <v>133664</v>
      </c>
      <c r="S122" s="145">
        <v>155542</v>
      </c>
      <c r="T122" s="121">
        <v>155542</v>
      </c>
      <c r="U122" s="121">
        <v>166008</v>
      </c>
      <c r="V122" s="121">
        <v>138498</v>
      </c>
      <c r="W122" s="145">
        <v>124113</v>
      </c>
      <c r="X122" s="145">
        <v>120925</v>
      </c>
      <c r="Y122" s="121">
        <f t="shared" si="85"/>
        <v>120925</v>
      </c>
      <c r="Z122" s="121">
        <v>122137</v>
      </c>
      <c r="AA122" s="121"/>
      <c r="AB122" s="145"/>
      <c r="AC122" s="145"/>
      <c r="AD122" s="121">
        <f>Z122</f>
        <v>122137</v>
      </c>
    </row>
    <row r="123" spans="1:30">
      <c r="A123" s="135" t="s">
        <v>158</v>
      </c>
      <c r="B123" s="126" t="s">
        <v>4</v>
      </c>
      <c r="C123" s="121">
        <f t="shared" ref="C123:M123" si="91">SUM(C124:C130)</f>
        <v>2428058.2193015767</v>
      </c>
      <c r="D123" s="121">
        <f t="shared" si="91"/>
        <v>2547100.9338282151</v>
      </c>
      <c r="E123" s="121">
        <f t="shared" si="91"/>
        <v>2391926.1291619297</v>
      </c>
      <c r="F123" s="121">
        <f t="shared" si="91"/>
        <v>2231432.1377195977</v>
      </c>
      <c r="G123" s="121">
        <f t="shared" si="91"/>
        <v>-239090</v>
      </c>
      <c r="H123" s="121">
        <f t="shared" si="91"/>
        <v>391253</v>
      </c>
      <c r="I123" s="121">
        <f t="shared" si="91"/>
        <v>737837</v>
      </c>
      <c r="J123" s="121">
        <f t="shared" si="91"/>
        <v>637404</v>
      </c>
      <c r="K123" s="121">
        <f t="shared" si="91"/>
        <v>734479</v>
      </c>
      <c r="L123" s="121">
        <f t="shared" si="91"/>
        <v>798564</v>
      </c>
      <c r="M123" s="121">
        <f t="shared" si="91"/>
        <v>781692</v>
      </c>
      <c r="N123" s="121">
        <f t="shared" si="73"/>
        <v>786343</v>
      </c>
      <c r="O123" s="121">
        <f>SUM(O124:O130)</f>
        <v>786343</v>
      </c>
      <c r="P123" s="121">
        <f t="shared" ref="P123:S123" si="92">SUM(P124:P130)</f>
        <v>745039</v>
      </c>
      <c r="Q123" s="121">
        <f t="shared" si="92"/>
        <v>727575</v>
      </c>
      <c r="R123" s="121">
        <f t="shared" si="92"/>
        <v>746069</v>
      </c>
      <c r="S123" s="121">
        <f t="shared" si="92"/>
        <v>709208</v>
      </c>
      <c r="T123" s="121">
        <v>709208</v>
      </c>
      <c r="U123" s="121">
        <f t="shared" ref="U123:X123" si="93">SUM(U124:U130)</f>
        <v>612736</v>
      </c>
      <c r="V123" s="121">
        <f t="shared" si="93"/>
        <v>463408</v>
      </c>
      <c r="W123" s="121">
        <f t="shared" si="93"/>
        <v>411697</v>
      </c>
      <c r="X123" s="121">
        <f t="shared" si="93"/>
        <v>195378</v>
      </c>
      <c r="Y123" s="121">
        <f>SUM(Y124:Y130)</f>
        <v>195378</v>
      </c>
      <c r="Z123" s="121">
        <f t="shared" ref="Z123:AC123" si="94">SUM(Z124:Z130)</f>
        <v>115162</v>
      </c>
      <c r="AA123" s="121">
        <f t="shared" si="94"/>
        <v>0</v>
      </c>
      <c r="AB123" s="121">
        <f t="shared" si="94"/>
        <v>0</v>
      </c>
      <c r="AC123" s="121">
        <f t="shared" si="94"/>
        <v>0</v>
      </c>
      <c r="AD123" s="121">
        <f>SUM(AD124:AD130)</f>
        <v>115162</v>
      </c>
    </row>
    <row r="124" spans="1:30">
      <c r="A124" s="156" t="s">
        <v>17</v>
      </c>
      <c r="B124" s="126" t="s">
        <v>4</v>
      </c>
      <c r="C124" s="137">
        <v>2109016.7690300001</v>
      </c>
      <c r="D124" s="137">
        <v>2123522.3842500001</v>
      </c>
      <c r="E124" s="137">
        <v>2138291.8400699999</v>
      </c>
      <c r="F124" s="137">
        <v>2138291.8400700004</v>
      </c>
      <c r="G124" s="137">
        <v>786644</v>
      </c>
      <c r="H124" s="137">
        <v>1965528</v>
      </c>
      <c r="I124" s="137">
        <v>2865528</v>
      </c>
      <c r="J124" s="137">
        <v>2865528</v>
      </c>
      <c r="K124" s="137">
        <v>2865528</v>
      </c>
      <c r="L124" s="137">
        <v>637312</v>
      </c>
      <c r="M124" s="137">
        <v>592274</v>
      </c>
      <c r="N124" s="137">
        <f t="shared" si="73"/>
        <v>592274</v>
      </c>
      <c r="O124" s="137">
        <v>592274</v>
      </c>
      <c r="P124" s="137">
        <v>592274</v>
      </c>
      <c r="Q124" s="137">
        <v>592274</v>
      </c>
      <c r="R124" s="137">
        <v>592274</v>
      </c>
      <c r="S124" s="137">
        <v>592274</v>
      </c>
      <c r="T124" s="137">
        <v>592274</v>
      </c>
      <c r="U124" s="137">
        <v>592274</v>
      </c>
      <c r="V124" s="137">
        <v>722421</v>
      </c>
      <c r="W124" s="137">
        <v>722421</v>
      </c>
      <c r="X124" s="137">
        <v>722421</v>
      </c>
      <c r="Y124" s="121">
        <f t="shared" si="85"/>
        <v>722421</v>
      </c>
      <c r="Z124" s="137">
        <v>722421</v>
      </c>
      <c r="AA124" s="137"/>
      <c r="AB124" s="137"/>
      <c r="AC124" s="137"/>
      <c r="AD124" s="121">
        <f>Z124</f>
        <v>722421</v>
      </c>
    </row>
    <row r="125" spans="1:30">
      <c r="A125" s="156" t="s">
        <v>199</v>
      </c>
      <c r="B125" s="126" t="s">
        <v>4</v>
      </c>
      <c r="C125" s="137">
        <v>0</v>
      </c>
      <c r="D125" s="137">
        <v>0</v>
      </c>
      <c r="E125" s="137">
        <v>0</v>
      </c>
      <c r="F125" s="137">
        <v>0</v>
      </c>
      <c r="G125" s="137">
        <v>0</v>
      </c>
      <c r="H125" s="137">
        <v>0</v>
      </c>
      <c r="I125" s="137">
        <v>0</v>
      </c>
      <c r="J125" s="137">
        <v>0</v>
      </c>
      <c r="K125" s="137">
        <v>0</v>
      </c>
      <c r="L125" s="137">
        <v>0</v>
      </c>
      <c r="M125" s="137">
        <f>J125</f>
        <v>0</v>
      </c>
      <c r="N125" s="137">
        <f t="shared" si="73"/>
        <v>61206</v>
      </c>
      <c r="O125" s="137">
        <v>61206</v>
      </c>
      <c r="P125" s="137">
        <v>61206</v>
      </c>
      <c r="Q125" s="137">
        <v>61206</v>
      </c>
      <c r="R125" s="137">
        <v>61206</v>
      </c>
      <c r="S125" s="137">
        <v>25095</v>
      </c>
      <c r="T125" s="137">
        <v>25095</v>
      </c>
      <c r="U125" s="137">
        <v>25095</v>
      </c>
      <c r="V125" s="137">
        <v>25095</v>
      </c>
      <c r="W125" s="137">
        <v>25095</v>
      </c>
      <c r="X125" s="137">
        <v>0</v>
      </c>
      <c r="Y125" s="121">
        <f t="shared" si="85"/>
        <v>0</v>
      </c>
      <c r="Z125" s="137"/>
      <c r="AA125" s="137"/>
      <c r="AB125" s="137"/>
      <c r="AC125" s="137"/>
      <c r="AD125" s="121">
        <f>Z125</f>
        <v>0</v>
      </c>
    </row>
    <row r="126" spans="1:30">
      <c r="A126" s="156" t="s">
        <v>200</v>
      </c>
      <c r="B126" s="126" t="s">
        <v>4</v>
      </c>
      <c r="C126" s="137">
        <v>0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137">
        <v>0</v>
      </c>
      <c r="J126" s="137">
        <v>0</v>
      </c>
      <c r="K126" s="137">
        <v>0</v>
      </c>
      <c r="L126" s="137">
        <v>0</v>
      </c>
      <c r="M126" s="137">
        <f>J126</f>
        <v>0</v>
      </c>
      <c r="N126" s="137">
        <f t="shared" si="73"/>
        <v>2624</v>
      </c>
      <c r="O126" s="137">
        <v>2624</v>
      </c>
      <c r="P126" s="137">
        <v>2624</v>
      </c>
      <c r="Q126" s="137">
        <v>2624</v>
      </c>
      <c r="R126" s="137">
        <v>2624</v>
      </c>
      <c r="S126" s="137">
        <v>0</v>
      </c>
      <c r="T126" s="137">
        <v>0</v>
      </c>
      <c r="U126" s="137">
        <v>0</v>
      </c>
      <c r="V126" s="137">
        <v>0</v>
      </c>
      <c r="W126" s="137">
        <v>0</v>
      </c>
      <c r="X126" s="137">
        <v>0</v>
      </c>
      <c r="Y126" s="121">
        <f t="shared" si="85"/>
        <v>0</v>
      </c>
      <c r="Z126" s="137"/>
      <c r="AA126" s="137"/>
      <c r="AB126" s="137"/>
      <c r="AC126" s="137"/>
      <c r="AD126" s="121">
        <f>Z126</f>
        <v>0</v>
      </c>
    </row>
    <row r="127" spans="1:30">
      <c r="A127" s="156" t="s">
        <v>159</v>
      </c>
      <c r="B127" s="126" t="s">
        <v>4</v>
      </c>
      <c r="C127" s="137">
        <v>318205.24088043493</v>
      </c>
      <c r="D127" s="137">
        <v>449264.00904986577</v>
      </c>
      <c r="E127" s="137">
        <v>277550.99401000002</v>
      </c>
      <c r="F127" s="137">
        <v>277550.99401000002</v>
      </c>
      <c r="G127" s="137">
        <v>117619</v>
      </c>
      <c r="H127" s="137">
        <v>117619</v>
      </c>
      <c r="I127" s="137">
        <v>117619</v>
      </c>
      <c r="J127" s="137">
        <v>117619</v>
      </c>
      <c r="K127" s="137">
        <v>117619</v>
      </c>
      <c r="L127" s="137">
        <v>0</v>
      </c>
      <c r="M127" s="137">
        <v>0</v>
      </c>
      <c r="N127" s="137">
        <f t="shared" si="73"/>
        <v>130147</v>
      </c>
      <c r="O127" s="137">
        <v>130147</v>
      </c>
      <c r="P127" s="137">
        <v>130147</v>
      </c>
      <c r="Q127" s="137">
        <v>130147</v>
      </c>
      <c r="R127" s="137">
        <v>130147</v>
      </c>
      <c r="S127" s="137">
        <v>130147</v>
      </c>
      <c r="T127" s="137">
        <v>130147</v>
      </c>
      <c r="U127" s="137">
        <v>130147</v>
      </c>
      <c r="V127" s="137">
        <v>0</v>
      </c>
      <c r="W127" s="137">
        <v>0</v>
      </c>
      <c r="X127" s="137">
        <v>0</v>
      </c>
      <c r="Y127" s="121">
        <f t="shared" si="85"/>
        <v>0</v>
      </c>
      <c r="Z127" s="137"/>
      <c r="AA127" s="137"/>
      <c r="AB127" s="137"/>
      <c r="AC127" s="137"/>
      <c r="AD127" s="121">
        <f>Z127</f>
        <v>0</v>
      </c>
    </row>
    <row r="128" spans="1:30" s="111" customFormat="1">
      <c r="A128" s="157" t="s">
        <v>178</v>
      </c>
      <c r="B128" s="126" t="s">
        <v>4</v>
      </c>
      <c r="C128" s="146">
        <v>53659.450649999999</v>
      </c>
      <c r="D128" s="146">
        <v>57706.203659999999</v>
      </c>
      <c r="E128" s="146">
        <v>140192.72907524343</v>
      </c>
      <c r="F128" s="146">
        <v>398709.83777999994</v>
      </c>
      <c r="G128" s="146">
        <v>639358</v>
      </c>
      <c r="H128" s="146">
        <v>748450</v>
      </c>
      <c r="I128" s="146">
        <v>0</v>
      </c>
      <c r="J128" s="146">
        <v>0</v>
      </c>
      <c r="K128" s="146">
        <v>0</v>
      </c>
      <c r="L128" s="146">
        <v>0</v>
      </c>
      <c r="M128" s="137">
        <v>0</v>
      </c>
      <c r="N128" s="146">
        <f t="shared" si="73"/>
        <v>0</v>
      </c>
      <c r="O128" s="146">
        <v>0</v>
      </c>
      <c r="P128" s="146"/>
      <c r="Q128" s="146">
        <v>-38400</v>
      </c>
      <c r="R128" s="137">
        <v>-38400</v>
      </c>
      <c r="S128" s="146">
        <v>-38400</v>
      </c>
      <c r="T128" s="146">
        <v>-38400</v>
      </c>
      <c r="U128" s="146">
        <v>0</v>
      </c>
      <c r="V128" s="146">
        <v>0</v>
      </c>
      <c r="W128" s="137">
        <v>0</v>
      </c>
      <c r="X128" s="146">
        <v>0</v>
      </c>
      <c r="Y128" s="121">
        <f t="shared" si="85"/>
        <v>0</v>
      </c>
      <c r="Z128" s="146"/>
      <c r="AA128" s="146"/>
      <c r="AB128" s="137"/>
      <c r="AC128" s="146"/>
      <c r="AD128" s="121">
        <f>Z128</f>
        <v>0</v>
      </c>
    </row>
    <row r="129" spans="1:30">
      <c r="A129" s="156" t="s">
        <v>160</v>
      </c>
      <c r="B129" s="126" t="s">
        <v>4</v>
      </c>
      <c r="C129" s="121">
        <v>-52823.2412588589</v>
      </c>
      <c r="D129" s="121">
        <v>-83391.662382170936</v>
      </c>
      <c r="E129" s="121">
        <v>-78387.651430280064</v>
      </c>
      <c r="F129" s="121">
        <v>-223542.17769000004</v>
      </c>
      <c r="G129" s="121">
        <v>92</v>
      </c>
      <c r="H129" s="121">
        <v>92</v>
      </c>
      <c r="I129" s="121">
        <v>92</v>
      </c>
      <c r="J129" s="121">
        <v>92</v>
      </c>
      <c r="K129" s="137">
        <v>92</v>
      </c>
      <c r="L129" s="137">
        <v>92</v>
      </c>
      <c r="M129" s="137">
        <v>92</v>
      </c>
      <c r="N129" s="137">
        <f t="shared" si="73"/>
        <v>92</v>
      </c>
      <c r="O129" s="121">
        <v>92</v>
      </c>
      <c r="P129" s="137">
        <v>92</v>
      </c>
      <c r="Q129" s="137">
        <v>92</v>
      </c>
      <c r="R129" s="137">
        <v>92</v>
      </c>
      <c r="S129" s="137">
        <v>92</v>
      </c>
      <c r="T129" s="121">
        <v>92</v>
      </c>
      <c r="U129" s="121">
        <v>92</v>
      </c>
      <c r="V129" s="121">
        <v>92</v>
      </c>
      <c r="W129" s="137">
        <v>92</v>
      </c>
      <c r="X129" s="137">
        <v>92</v>
      </c>
      <c r="Y129" s="121">
        <f t="shared" si="85"/>
        <v>92</v>
      </c>
      <c r="Z129" s="121">
        <v>92</v>
      </c>
      <c r="AA129" s="121"/>
      <c r="AB129" s="137"/>
      <c r="AC129" s="137"/>
      <c r="AD129" s="121">
        <f>Z129</f>
        <v>92</v>
      </c>
    </row>
    <row r="130" spans="1:30">
      <c r="A130" s="156" t="s">
        <v>161</v>
      </c>
      <c r="B130" s="126" t="s">
        <v>4</v>
      </c>
      <c r="C130" s="121">
        <v>6.9849193096160889E-10</v>
      </c>
      <c r="D130" s="121">
        <v>-7.4947986286133528E-4</v>
      </c>
      <c r="E130" s="121">
        <v>-85721.782563033645</v>
      </c>
      <c r="F130" s="121">
        <v>-359578.35645040218</v>
      </c>
      <c r="G130" s="121">
        <v>-1782803</v>
      </c>
      <c r="H130" s="121">
        <v>-2440436</v>
      </c>
      <c r="I130" s="121">
        <v>-2245402</v>
      </c>
      <c r="J130" s="121">
        <v>-2345835</v>
      </c>
      <c r="K130" s="121">
        <v>-2248760</v>
      </c>
      <c r="L130" s="121">
        <v>161160</v>
      </c>
      <c r="M130" s="137">
        <v>189326</v>
      </c>
      <c r="N130" s="137">
        <f t="shared" si="73"/>
        <v>0</v>
      </c>
      <c r="O130" s="121">
        <v>0</v>
      </c>
      <c r="P130" s="121">
        <v>-41304</v>
      </c>
      <c r="Q130" s="121">
        <v>-20368</v>
      </c>
      <c r="R130" s="137">
        <v>-1874</v>
      </c>
      <c r="S130" s="137">
        <v>0</v>
      </c>
      <c r="T130" s="121">
        <v>0</v>
      </c>
      <c r="U130" s="121">
        <v>-134872</v>
      </c>
      <c r="V130" s="121">
        <v>-284200</v>
      </c>
      <c r="W130" s="137">
        <v>-335911</v>
      </c>
      <c r="X130" s="137">
        <v>-527135</v>
      </c>
      <c r="Y130" s="121">
        <f t="shared" si="85"/>
        <v>-527135</v>
      </c>
      <c r="Z130" s="121">
        <v>-607351</v>
      </c>
      <c r="AA130" s="121"/>
      <c r="AB130" s="137"/>
      <c r="AC130" s="137"/>
      <c r="AD130" s="121">
        <f>Z130</f>
        <v>-607351</v>
      </c>
    </row>
    <row r="131" spans="1:30" s="105" customFormat="1">
      <c r="A131" s="158" t="s">
        <v>162</v>
      </c>
      <c r="B131" s="132" t="s">
        <v>4</v>
      </c>
      <c r="C131" s="124">
        <f t="shared" ref="C131:M131" si="95">C123+C132</f>
        <v>2428058.2193015767</v>
      </c>
      <c r="D131" s="124">
        <f t="shared" si="95"/>
        <v>2547100.9338282151</v>
      </c>
      <c r="E131" s="124">
        <f t="shared" si="95"/>
        <v>2391926.1291619297</v>
      </c>
      <c r="F131" s="124">
        <f t="shared" si="95"/>
        <v>2250863.7617942938</v>
      </c>
      <c r="G131" s="124">
        <f t="shared" si="95"/>
        <v>-152534</v>
      </c>
      <c r="H131" s="124">
        <f t="shared" si="95"/>
        <v>450569</v>
      </c>
      <c r="I131" s="124">
        <f t="shared" si="95"/>
        <v>795659</v>
      </c>
      <c r="J131" s="124">
        <f t="shared" si="95"/>
        <v>697136</v>
      </c>
      <c r="K131" s="124">
        <f t="shared" si="95"/>
        <v>815436</v>
      </c>
      <c r="L131" s="124">
        <f t="shared" si="95"/>
        <v>876658</v>
      </c>
      <c r="M131" s="124">
        <f t="shared" si="95"/>
        <v>850107</v>
      </c>
      <c r="N131" s="124">
        <f t="shared" si="73"/>
        <v>881808</v>
      </c>
      <c r="O131" s="124">
        <f>O123+O132</f>
        <v>881808</v>
      </c>
      <c r="P131" s="124">
        <f t="shared" ref="P131:S131" si="96">P123+P132</f>
        <v>837626</v>
      </c>
      <c r="Q131" s="124">
        <f t="shared" si="96"/>
        <v>798319</v>
      </c>
      <c r="R131" s="124">
        <f t="shared" si="96"/>
        <v>827208</v>
      </c>
      <c r="S131" s="124">
        <f t="shared" si="96"/>
        <v>787494</v>
      </c>
      <c r="T131" s="124">
        <v>787494</v>
      </c>
      <c r="U131" s="124">
        <f t="shared" ref="U131:Y131" si="97">U123+U132</f>
        <v>700391</v>
      </c>
      <c r="V131" s="124">
        <f t="shared" si="97"/>
        <v>564349</v>
      </c>
      <c r="W131" s="124">
        <f t="shared" si="97"/>
        <v>541804</v>
      </c>
      <c r="X131" s="124">
        <f t="shared" si="97"/>
        <v>263060</v>
      </c>
      <c r="Y131" s="124">
        <f t="shared" si="97"/>
        <v>263060</v>
      </c>
      <c r="Z131" s="124">
        <f t="shared" ref="Z131:AD131" si="98">Z123+Z132</f>
        <v>202105</v>
      </c>
      <c r="AA131" s="124">
        <f t="shared" si="98"/>
        <v>0</v>
      </c>
      <c r="AB131" s="124">
        <f t="shared" si="98"/>
        <v>0</v>
      </c>
      <c r="AC131" s="124">
        <f t="shared" si="98"/>
        <v>0</v>
      </c>
      <c r="AD131" s="124">
        <f t="shared" si="98"/>
        <v>202105</v>
      </c>
    </row>
    <row r="132" spans="1:30">
      <c r="A132" s="156" t="s">
        <v>163</v>
      </c>
      <c r="B132" s="126" t="s">
        <v>4</v>
      </c>
      <c r="C132" s="121">
        <v>0</v>
      </c>
      <c r="D132" s="121">
        <v>0</v>
      </c>
      <c r="E132" s="121">
        <v>0</v>
      </c>
      <c r="F132" s="121">
        <v>19431.624074696127</v>
      </c>
      <c r="G132" s="121">
        <v>86556</v>
      </c>
      <c r="H132" s="121">
        <v>59316</v>
      </c>
      <c r="I132" s="121">
        <v>57822</v>
      </c>
      <c r="J132" s="121">
        <v>59732</v>
      </c>
      <c r="K132" s="121">
        <v>80957</v>
      </c>
      <c r="L132" s="121">
        <v>78094</v>
      </c>
      <c r="M132" s="121">
        <v>68415</v>
      </c>
      <c r="N132" s="121">
        <f t="shared" si="73"/>
        <v>95465</v>
      </c>
      <c r="O132" s="121">
        <v>95465</v>
      </c>
      <c r="P132" s="121">
        <v>92587</v>
      </c>
      <c r="Q132" s="121">
        <v>70744</v>
      </c>
      <c r="R132" s="121">
        <v>81139</v>
      </c>
      <c r="S132" s="121">
        <v>78286</v>
      </c>
      <c r="T132" s="121">
        <v>78286</v>
      </c>
      <c r="U132" s="121">
        <v>87655</v>
      </c>
      <c r="V132" s="121">
        <v>100941</v>
      </c>
      <c r="W132" s="121">
        <v>130107</v>
      </c>
      <c r="X132" s="121">
        <v>67682</v>
      </c>
      <c r="Y132" s="121">
        <f>X132</f>
        <v>67682</v>
      </c>
      <c r="Z132" s="121">
        <v>86943</v>
      </c>
      <c r="AA132" s="121"/>
      <c r="AB132" s="121"/>
      <c r="AC132" s="121"/>
      <c r="AD132" s="121">
        <f>Z132</f>
        <v>86943</v>
      </c>
    </row>
    <row r="133" spans="1:30">
      <c r="A133" s="156"/>
      <c r="B133" s="126"/>
      <c r="C133" s="126"/>
      <c r="D133" s="137"/>
      <c r="E133" s="126"/>
      <c r="F133" s="126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</row>
    <row r="134" spans="1:30">
      <c r="A134" s="128" t="s">
        <v>196</v>
      </c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</row>
    <row r="135" spans="1:30">
      <c r="A135" s="130" t="s">
        <v>197</v>
      </c>
      <c r="B135" s="130" t="s">
        <v>4</v>
      </c>
      <c r="C135" s="121">
        <f t="shared" ref="C135:I135" si="99">C69+C70+C87</f>
        <v>1055882.321570335</v>
      </c>
      <c r="D135" s="121">
        <f t="shared" si="99"/>
        <v>879964.33744831523</v>
      </c>
      <c r="E135" s="121">
        <f t="shared" si="99"/>
        <v>1008333.678938725</v>
      </c>
      <c r="F135" s="121">
        <f t="shared" si="99"/>
        <v>755828.40704379999</v>
      </c>
      <c r="G135" s="121">
        <f t="shared" si="99"/>
        <v>355304</v>
      </c>
      <c r="H135" s="121">
        <f t="shared" si="99"/>
        <v>196014</v>
      </c>
      <c r="I135" s="121">
        <f t="shared" si="99"/>
        <v>397493</v>
      </c>
      <c r="J135" s="121">
        <f>J69+J70+J87+J79</f>
        <v>456099</v>
      </c>
      <c r="K135" s="121">
        <f t="shared" ref="K135:Y135" si="100">K69+K70+K87+K79</f>
        <v>444899</v>
      </c>
      <c r="L135" s="121">
        <f t="shared" si="100"/>
        <v>371265</v>
      </c>
      <c r="M135" s="121">
        <f t="shared" si="100"/>
        <v>309504</v>
      </c>
      <c r="N135" s="121">
        <f>O135</f>
        <v>473241</v>
      </c>
      <c r="O135" s="121">
        <f>O69+O70+O87+O79</f>
        <v>473241</v>
      </c>
      <c r="P135" s="121">
        <f t="shared" si="100"/>
        <v>438269</v>
      </c>
      <c r="Q135" s="121">
        <f t="shared" si="100"/>
        <v>352171</v>
      </c>
      <c r="R135" s="121">
        <f t="shared" si="100"/>
        <v>399112</v>
      </c>
      <c r="S135" s="121">
        <f t="shared" si="100"/>
        <v>644032</v>
      </c>
      <c r="T135" s="121">
        <f>S135</f>
        <v>644032</v>
      </c>
      <c r="U135" s="121">
        <f t="shared" si="100"/>
        <v>192242</v>
      </c>
      <c r="V135" s="121">
        <f t="shared" si="100"/>
        <v>230306</v>
      </c>
      <c r="W135" s="121">
        <f>W69+W70+W87+W79</f>
        <v>377098</v>
      </c>
      <c r="X135" s="121">
        <f>X69+X70+X87+X79</f>
        <v>506785</v>
      </c>
      <c r="Y135" s="121">
        <f t="shared" si="100"/>
        <v>506785</v>
      </c>
      <c r="Z135" s="121">
        <f t="shared" ref="Z135:AA135" si="101">Z69+Z70+Z87+Z79</f>
        <v>206953</v>
      </c>
      <c r="AA135" s="121">
        <f t="shared" si="101"/>
        <v>0</v>
      </c>
      <c r="AB135" s="121">
        <f>AB69+AB70+AB87+AB79</f>
        <v>0</v>
      </c>
      <c r="AC135" s="121">
        <f>AC69+AC70+AC87+AC79</f>
        <v>0</v>
      </c>
      <c r="AD135" s="121">
        <f t="shared" ref="AD135" si="102">AD69+AD70+AD87+AD79</f>
        <v>206953</v>
      </c>
    </row>
    <row r="136" spans="1:30">
      <c r="A136" s="126" t="s">
        <v>73</v>
      </c>
      <c r="B136" s="130" t="s">
        <v>4</v>
      </c>
      <c r="C136" s="137">
        <f t="shared" ref="C136:M136" si="103">SUM(C101:C102,C112:C113)</f>
        <v>3495321.6510287998</v>
      </c>
      <c r="D136" s="137">
        <f t="shared" si="103"/>
        <v>3165855.1819609003</v>
      </c>
      <c r="E136" s="137">
        <f t="shared" si="103"/>
        <v>3009904.3928289004</v>
      </c>
      <c r="F136" s="137">
        <f t="shared" si="103"/>
        <v>3084632.9177955999</v>
      </c>
      <c r="G136" s="137">
        <f t="shared" si="103"/>
        <v>2509393</v>
      </c>
      <c r="H136" s="137">
        <f t="shared" si="103"/>
        <v>2157966</v>
      </c>
      <c r="I136" s="137">
        <f t="shared" si="103"/>
        <v>1926402</v>
      </c>
      <c r="J136" s="137">
        <f t="shared" si="103"/>
        <v>1754746</v>
      </c>
      <c r="K136" s="137">
        <f t="shared" si="103"/>
        <v>1752183</v>
      </c>
      <c r="L136" s="137">
        <f t="shared" si="103"/>
        <v>1750276</v>
      </c>
      <c r="M136" s="137">
        <f t="shared" si="103"/>
        <v>2739365</v>
      </c>
      <c r="N136" s="137">
        <f>O136</f>
        <v>2733712</v>
      </c>
      <c r="O136" s="137">
        <f>SUM(O101:O102,O112:O113)</f>
        <v>2733712</v>
      </c>
      <c r="P136" s="137">
        <f t="shared" ref="P136:R136" si="104">SUM(P101:P102,P112:P113)</f>
        <v>2732499</v>
      </c>
      <c r="Q136" s="137">
        <f t="shared" si="104"/>
        <v>2731118</v>
      </c>
      <c r="R136" s="137">
        <f t="shared" si="104"/>
        <v>2728952</v>
      </c>
      <c r="S136" s="137">
        <f t="shared" ref="S136" si="105">SUM(S101:S102,S112:S113)</f>
        <v>2797803</v>
      </c>
      <c r="T136" s="137">
        <f>S136</f>
        <v>2797803</v>
      </c>
      <c r="U136" s="137">
        <f t="shared" ref="U136:W136" si="106">SUM(U101:U102,U112:U113)</f>
        <v>2784879</v>
      </c>
      <c r="V136" s="137">
        <f t="shared" si="106"/>
        <v>2771863</v>
      </c>
      <c r="W136" s="137">
        <f t="shared" si="106"/>
        <v>2798678</v>
      </c>
      <c r="X136" s="137">
        <f>SUM(X101:X102,X112:X113)</f>
        <v>2789571</v>
      </c>
      <c r="Y136" s="137">
        <f>SUM(Y101:Y102,Y112:Y113)</f>
        <v>2789571</v>
      </c>
      <c r="Z136" s="137">
        <f t="shared" ref="Z136:AB136" si="107">SUM(Z101:Z102,Z112:Z113)</f>
        <v>2743325</v>
      </c>
      <c r="AA136" s="137">
        <f t="shared" si="107"/>
        <v>0</v>
      </c>
      <c r="AB136" s="137">
        <f t="shared" si="107"/>
        <v>0</v>
      </c>
      <c r="AC136" s="137">
        <f>SUM(AC101:AC102,AC112:AC113)</f>
        <v>0</v>
      </c>
      <c r="AD136" s="137">
        <f>SUM(AD101:AD102,AD112:AD113)</f>
        <v>2743325</v>
      </c>
    </row>
    <row r="137" spans="1:30">
      <c r="A137" s="132" t="s">
        <v>74</v>
      </c>
      <c r="B137" s="133" t="s">
        <v>4</v>
      </c>
      <c r="C137" s="147">
        <f>C136-C135</f>
        <v>2439439.3294584649</v>
      </c>
      <c r="D137" s="147">
        <f t="shared" ref="D137:J137" si="108">D136-D135</f>
        <v>2285890.8445125851</v>
      </c>
      <c r="E137" s="147">
        <f t="shared" si="108"/>
        <v>2001570.7138901753</v>
      </c>
      <c r="F137" s="147">
        <f t="shared" si="108"/>
        <v>2328804.5107517997</v>
      </c>
      <c r="G137" s="147">
        <f t="shared" si="108"/>
        <v>2154089</v>
      </c>
      <c r="H137" s="147">
        <f t="shared" si="108"/>
        <v>1961952</v>
      </c>
      <c r="I137" s="147">
        <f t="shared" si="108"/>
        <v>1528909</v>
      </c>
      <c r="J137" s="147">
        <f t="shared" si="108"/>
        <v>1298647</v>
      </c>
      <c r="K137" s="147">
        <f t="shared" ref="K137" si="109">K136-K135</f>
        <v>1307284</v>
      </c>
      <c r="L137" s="147">
        <f t="shared" ref="L137" si="110">L136-L135</f>
        <v>1379011</v>
      </c>
      <c r="M137" s="147">
        <f t="shared" ref="M137" si="111">M136-M135</f>
        <v>2429861</v>
      </c>
      <c r="N137" s="147">
        <f>O137</f>
        <v>2260471</v>
      </c>
      <c r="O137" s="147">
        <f t="shared" ref="O137:R137" si="112">O136-O135</f>
        <v>2260471</v>
      </c>
      <c r="P137" s="147">
        <f t="shared" si="112"/>
        <v>2294230</v>
      </c>
      <c r="Q137" s="147">
        <f t="shared" si="112"/>
        <v>2378947</v>
      </c>
      <c r="R137" s="147">
        <f t="shared" si="112"/>
        <v>2329840</v>
      </c>
      <c r="S137" s="147">
        <f t="shared" ref="S137:T137" si="113">S136-S135</f>
        <v>2153771</v>
      </c>
      <c r="T137" s="147">
        <f t="shared" si="113"/>
        <v>2153771</v>
      </c>
      <c r="U137" s="147">
        <f t="shared" ref="U137:X137" si="114">U136-U135</f>
        <v>2592637</v>
      </c>
      <c r="V137" s="147">
        <f t="shared" si="114"/>
        <v>2541557</v>
      </c>
      <c r="W137" s="147">
        <f t="shared" si="114"/>
        <v>2421580</v>
      </c>
      <c r="X137" s="147">
        <f t="shared" si="114"/>
        <v>2282786</v>
      </c>
      <c r="Y137" s="147">
        <f>Y136-Y135</f>
        <v>2282786</v>
      </c>
      <c r="Z137" s="147">
        <f t="shared" ref="Z137:AC137" si="115">Z136-Z135</f>
        <v>2536372</v>
      </c>
      <c r="AA137" s="147">
        <f t="shared" si="115"/>
        <v>0</v>
      </c>
      <c r="AB137" s="147">
        <f t="shared" si="115"/>
        <v>0</v>
      </c>
      <c r="AC137" s="147">
        <f t="shared" si="115"/>
        <v>0</v>
      </c>
      <c r="AD137" s="147">
        <f>AD136-AD135</f>
        <v>2536372</v>
      </c>
    </row>
    <row r="138" spans="1:30">
      <c r="A138" s="126" t="s">
        <v>187</v>
      </c>
      <c r="B138" s="130" t="s">
        <v>4</v>
      </c>
      <c r="C138" s="137">
        <f>'EBITDA &amp; DRE'!C10</f>
        <v>1065968.3769124825</v>
      </c>
      <c r="D138" s="137">
        <f>'EBITDA &amp; DRE'!D10</f>
        <v>959794.21508588281</v>
      </c>
      <c r="E138" s="137">
        <f>'EBITDA &amp; DRE'!E10</f>
        <v>569339.44183206221</v>
      </c>
      <c r="F138" s="137">
        <f>'EBITDA &amp; DRE'!F10</f>
        <v>255024.74431339861</v>
      </c>
      <c r="G138" s="137">
        <f>'EBITDA &amp; DRE'!G10</f>
        <v>55745.419739469886</v>
      </c>
      <c r="H138" s="137">
        <f>'EBITDA &amp; DRE'!L10</f>
        <v>51293.906629481833</v>
      </c>
      <c r="I138" s="137">
        <f>'EBITDA &amp; DRE'!Q10</f>
        <v>262895.52615140309</v>
      </c>
      <c r="J138" s="137">
        <f>'EBITDA &amp; DRE'!V10</f>
        <v>686280.91717886401</v>
      </c>
      <c r="K138" s="137">
        <f>SUM('EBITDA &amp; DRE'!W10,'EBITDA &amp; DRE'!S10:U10)</f>
        <v>886968.3106736294</v>
      </c>
      <c r="L138" s="137">
        <f>SUM('EBITDA &amp; DRE'!T10:U10,'EBITDA &amp; DRE'!W10:X10)</f>
        <v>1017312.7345564734</v>
      </c>
      <c r="M138" s="137">
        <f>SUM('EBITDA &amp; DRE'!W10:Y10,'EBITDA &amp; DRE'!U10)</f>
        <v>995519.90356106579</v>
      </c>
      <c r="N138" s="137">
        <f>O138</f>
        <v>928214.77</v>
      </c>
      <c r="O138" s="137">
        <f>'EBITDA &amp; DRE'!AA10</f>
        <v>928214.77</v>
      </c>
      <c r="P138" s="137">
        <f>SUM('EBITDA &amp; DRE'!AB10,'EBITDA &amp; DRE'!X10:Z10)</f>
        <v>821522.78892014537</v>
      </c>
      <c r="Q138" s="137">
        <f>SUM('EBITDA &amp; DRE'!AB10:AC10,'EBITDA &amp; DRE'!Y10:Z10)</f>
        <v>806804.00052078103</v>
      </c>
      <c r="R138" s="137">
        <f>'EBITDA &amp; DRE'!AD10+'EBITDA &amp; DRE'!AC10+'EBITDA &amp; DRE'!AB10+'EBITDA &amp; DRE'!Z10</f>
        <v>815144.20488078101</v>
      </c>
      <c r="S138" s="137">
        <f>'EBITDA &amp; DRE'!AF10</f>
        <v>879723.47066000011</v>
      </c>
      <c r="T138" s="137">
        <f>S138</f>
        <v>879723.47066000011</v>
      </c>
      <c r="U138" s="137">
        <f>SUM('EBITDA &amp; DRE'!AG10,'EBITDA &amp; DRE'!AC10:AE10)</f>
        <v>888330.96302085696</v>
      </c>
      <c r="V138" s="137">
        <f>SUM('EBITDA &amp; DRE'!AG10:AH10,'EBITDA &amp; DRE'!AD10:AE10)</f>
        <v>827584.20240808348</v>
      </c>
      <c r="W138" s="137">
        <f>SUM('EBITDA &amp; DRE'!AE10,'EBITDA &amp; DRE'!AG10:AI10)</f>
        <v>786801.53892808396</v>
      </c>
      <c r="X138" s="137">
        <f>'EBITDA &amp; DRE'!AK10</f>
        <v>723790.51561180071</v>
      </c>
      <c r="Y138" s="137">
        <f>X138</f>
        <v>723790.51561180071</v>
      </c>
      <c r="Z138" s="137">
        <f>SUM('EBITDA &amp; DRE'!AL10,'EBITDA &amp; DRE'!AH10:AJ10)</f>
        <v>741869.07295094407</v>
      </c>
      <c r="AA138" s="137">
        <f>SUM('EBITDA &amp; DRE'!AL10:AM10,'EBITDA &amp; DRE'!AI10:AJ10)</f>
        <v>563460.02138371742</v>
      </c>
      <c r="AB138" s="137">
        <f>SUM('EBITDA &amp; DRE'!AJ10,'EBITDA &amp; DRE'!AL10:AN10)</f>
        <v>357221.4805037172</v>
      </c>
      <c r="AC138" s="137">
        <f>'EBITDA &amp; DRE'!AP10</f>
        <v>163152.23752000002</v>
      </c>
      <c r="AD138" s="137">
        <f>Z138</f>
        <v>741869.07295094407</v>
      </c>
    </row>
    <row r="139" spans="1:30">
      <c r="A139" s="132" t="s">
        <v>77</v>
      </c>
      <c r="B139" s="133" t="s">
        <v>75</v>
      </c>
      <c r="C139" s="148">
        <f>IFERROR(C137/C138,0)</f>
        <v>2.2884725122185743</v>
      </c>
      <c r="D139" s="148">
        <f t="shared" ref="D139:J139" si="116">IFERROR(D137/D138,0)</f>
        <v>2.381646824478977</v>
      </c>
      <c r="E139" s="148">
        <f t="shared" si="116"/>
        <v>3.5156017075672366</v>
      </c>
      <c r="F139" s="148">
        <f t="shared" si="116"/>
        <v>9.1316806022945904</v>
      </c>
      <c r="G139" s="148">
        <f t="shared" si="116"/>
        <v>38.641542391595316</v>
      </c>
      <c r="H139" s="148">
        <f t="shared" si="116"/>
        <v>38.249221572691496</v>
      </c>
      <c r="I139" s="148">
        <f t="shared" si="116"/>
        <v>5.815652409084711</v>
      </c>
      <c r="J139" s="148">
        <f t="shared" si="116"/>
        <v>1.892296532647922</v>
      </c>
      <c r="K139" s="148">
        <f t="shared" ref="K139" si="117">IFERROR(K137/K138,0)</f>
        <v>1.4738790374676991</v>
      </c>
      <c r="L139" s="148">
        <f t="shared" ref="L139" si="118">IFERROR(L137/L138,0)</f>
        <v>1.3555428465183021</v>
      </c>
      <c r="M139" s="159">
        <f t="shared" ref="M139" si="119">IFERROR(M137/M138,0)</f>
        <v>2.4407960014743701</v>
      </c>
      <c r="N139" s="159">
        <f>O139</f>
        <v>2.435288764043261</v>
      </c>
      <c r="O139" s="159">
        <f t="shared" ref="O139:Q139" si="120">IFERROR(O137/O138,0)</f>
        <v>2.435288764043261</v>
      </c>
      <c r="P139" s="159">
        <f t="shared" si="120"/>
        <v>2.7926553358497355</v>
      </c>
      <c r="Q139" s="159">
        <f t="shared" si="120"/>
        <v>2.9486058552813597</v>
      </c>
      <c r="R139" s="159">
        <f>IFERROR(R137/R138,0)</f>
        <v>2.8581936619922987</v>
      </c>
      <c r="S139" s="159">
        <f t="shared" ref="S139:T139" si="121">IFERROR(S137/S138,0)</f>
        <v>2.4482363740780539</v>
      </c>
      <c r="T139" s="159">
        <f t="shared" si="121"/>
        <v>2.4482363740780539</v>
      </c>
      <c r="U139" s="159">
        <f t="shared" ref="U139:V139" si="122">IFERROR(U137/U138,0)</f>
        <v>2.9185485004186758</v>
      </c>
      <c r="V139" s="159">
        <f t="shared" si="122"/>
        <v>3.0710554800401484</v>
      </c>
      <c r="W139" s="159">
        <f>IFERROR(W137/W138,0)</f>
        <v>3.0777519872407617</v>
      </c>
      <c r="X139" s="159">
        <f t="shared" ref="X139:AA139" si="123">IFERROR(X137/X138,0)</f>
        <v>3.1539319053806918</v>
      </c>
      <c r="Y139" s="159">
        <f t="shared" si="123"/>
        <v>3.1539319053806918</v>
      </c>
      <c r="Z139" s="159">
        <f t="shared" si="123"/>
        <v>3.4188943743281195</v>
      </c>
      <c r="AA139" s="159">
        <f t="shared" si="123"/>
        <v>0</v>
      </c>
      <c r="AB139" s="159">
        <f>IFERROR(AB137/AB138,0)</f>
        <v>0</v>
      </c>
      <c r="AC139" s="159">
        <f t="shared" ref="AC139:AD139" si="124">IFERROR(AC137/AC138,0)</f>
        <v>0</v>
      </c>
      <c r="AD139" s="159">
        <f t="shared" si="124"/>
        <v>3.4188943743281195</v>
      </c>
    </row>
    <row r="140" spans="1:30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</row>
    <row r="141" spans="1:30">
      <c r="A141" s="132" t="s">
        <v>209</v>
      </c>
      <c r="B141" s="133" t="s">
        <v>4</v>
      </c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9">
        <v>1429861</v>
      </c>
      <c r="N141" s="149">
        <v>2122048.0277200001</v>
      </c>
      <c r="O141" s="149">
        <f>N141</f>
        <v>2122048.0277200001</v>
      </c>
      <c r="P141" s="149">
        <v>2124861.1822100002</v>
      </c>
      <c r="Q141" s="149">
        <v>2189368.2015800001</v>
      </c>
      <c r="R141" s="149">
        <v>2140260.2015800001</v>
      </c>
      <c r="S141" s="149">
        <v>1915262.5369899999</v>
      </c>
      <c r="T141" s="147">
        <f>S141</f>
        <v>1915262.5369899999</v>
      </c>
      <c r="U141" s="149">
        <v>2257553.7141399998</v>
      </c>
      <c r="V141" s="147">
        <v>2206472.7141399998</v>
      </c>
      <c r="W141" s="147">
        <v>2086496.7141400001</v>
      </c>
      <c r="X141" s="147">
        <v>1907702.7141400001</v>
      </c>
      <c r="Y141" s="147">
        <f>X141</f>
        <v>1907702.7141400001</v>
      </c>
      <c r="Z141" s="149">
        <v>2161288.7141399998</v>
      </c>
      <c r="AA141" s="147"/>
      <c r="AB141" s="147"/>
      <c r="AC141" s="147"/>
      <c r="AD141" s="147">
        <f>Z141</f>
        <v>2161288.7141399998</v>
      </c>
    </row>
    <row r="142" spans="1:30">
      <c r="A142" s="132" t="s">
        <v>210</v>
      </c>
      <c r="B142" s="133" t="s">
        <v>75</v>
      </c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59">
        <f>IFERROR(M141/M138,0)</f>
        <v>1.4362957434454664</v>
      </c>
      <c r="N142" s="159">
        <f>IFERROR(N141/N138,0)</f>
        <v>2.2861605916053245</v>
      </c>
      <c r="O142" s="159">
        <f>IFERROR(O141/O138,0)</f>
        <v>2.2861605916053245</v>
      </c>
      <c r="P142" s="159">
        <f>IFERROR(P141/P138,0)</f>
        <v>2.5864908568185117</v>
      </c>
      <c r="Q142" s="159">
        <f>IFERROR(Q141/Q138,0)</f>
        <v>2.713630820083679</v>
      </c>
      <c r="R142" s="159">
        <f t="shared" ref="R142" si="125">IFERROR(R141/R138,0)</f>
        <v>2.6256215633564173</v>
      </c>
      <c r="S142" s="159">
        <f t="shared" ref="S142:T142" si="126">IFERROR(S141/S138,0)</f>
        <v>2.1771188343458672</v>
      </c>
      <c r="T142" s="159">
        <f t="shared" si="126"/>
        <v>2.1771188343458672</v>
      </c>
      <c r="U142" s="159">
        <f>IFERROR(U141/U138,0)</f>
        <v>2.5413430445596155</v>
      </c>
      <c r="V142" s="159">
        <f>IFERROR(V141/V138,0)</f>
        <v>2.6661609872683187</v>
      </c>
      <c r="W142" s="159">
        <f>IFERROR(W141/W138,0)</f>
        <v>2.6518716739961947</v>
      </c>
      <c r="X142" s="159">
        <f t="shared" ref="X142:Y142" si="127">IFERROR(X141/X138,0)</f>
        <v>2.6357111249619929</v>
      </c>
      <c r="Y142" s="159">
        <f t="shared" si="127"/>
        <v>2.6357111249619929</v>
      </c>
      <c r="Z142" s="159">
        <f>IFERROR(Z141/Z138,0)</f>
        <v>2.9133020811111701</v>
      </c>
      <c r="AA142" s="159">
        <f>IFERROR(AA141/AA138,0)</f>
        <v>0</v>
      </c>
      <c r="AB142" s="159">
        <f>IFERROR(AB141/AB138,0)</f>
        <v>0</v>
      </c>
      <c r="AC142" s="159">
        <f t="shared" ref="AC142:AD142" si="128">IFERROR(AC141/AC138,0)</f>
        <v>0</v>
      </c>
      <c r="AD142" s="159">
        <f t="shared" si="128"/>
        <v>2.9133020811111701</v>
      </c>
    </row>
    <row r="144" spans="1:30">
      <c r="N144" s="107"/>
      <c r="P144" s="107"/>
      <c r="U144" s="107"/>
      <c r="Z144" s="107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ignoredErrors>
    <ignoredError sqref="C136:M136 C31:K32 K138:M138 C26:K29 C35:K35 C20:M20 O136:S136 O20:R20 T134 T64:T66 Q138 U136:U138 V138 F68:M68 O68:U68 C68:E68 V136 Y99 Y44:Y58 Y30 Y17:Y18 Y7:Y16 Y19 Y31:Y35 Y59:Y76 Y21:Y29 Y41:Y42" formulaRange="1"/>
    <ignoredError sqref="K61 L36:N36 S133:S134 S64:S66 N59:O63 N111:N123 N40:Q40 N43:Q43 N78 N98:N99 N135:N140 N37:P39 N41:P42 S95 N131 N67 N69:N76 V68 Y131 Y123 T135:T137 Y111 AD20 AD36 AD43 Z68 AD78 AD111 AD123 AD131" formula="1"/>
    <ignoredError sqref="N20 C36:J36 K36 O36:S36 N68 Y78 Y43 Y36:Y40 Y20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F9AD7A97A114E82B6C4FE2B96F09E" ma:contentTypeVersion="12" ma:contentTypeDescription="Crie um novo documento." ma:contentTypeScope="" ma:versionID="f26c70a435de4817139db256c860858f">
  <xsd:schema xmlns:xsd="http://www.w3.org/2001/XMLSchema" xmlns:xs="http://www.w3.org/2001/XMLSchema" xmlns:p="http://schemas.microsoft.com/office/2006/metadata/properties" xmlns:ns2="f63b5019-fdb0-4516-8d48-8c6a7bdb0f24" xmlns:ns3="e82749e7-7b0e-4498-9ead-94b1bb5c5f13" targetNamespace="http://schemas.microsoft.com/office/2006/metadata/properties" ma:root="true" ma:fieldsID="a655491b392b54f95b58625fa9d92b8f" ns2:_="" ns3:_="">
    <xsd:import namespace="f63b5019-fdb0-4516-8d48-8c6a7bdb0f24"/>
    <xsd:import namespace="e82749e7-7b0e-4498-9ead-94b1bb5c5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b5019-fdb0-4516-8d48-8c6a7bdb0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749e7-7b0e-4498-9ead-94b1bb5c5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200EE-6E55-416A-9B37-0C1845D9B0CA}">
  <ds:schemaRefs>
    <ds:schemaRef ds:uri="f63b5019-fdb0-4516-8d48-8c6a7bdb0f24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82749e7-7b0e-4498-9ead-94b1bb5c5f1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C2DAEF-D4C1-4BC9-A4BE-2665636099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B1FC0-0DAA-4FC0-BE16-81E7BC51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3b5019-fdb0-4516-8d48-8c6a7bdb0f24"/>
    <ds:schemaRef ds:uri="e82749e7-7b0e-4498-9ead-94b1bb5c5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Português|Dados</vt:lpstr>
      <vt:lpstr>EBITDA &amp; DRE</vt:lpstr>
      <vt:lpstr>Fluxo Caixa_BP_Alavanc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2015-11-03T23:18:52Z</dcterms:created>
  <dcterms:modified xsi:type="dcterms:W3CDTF">2024-06-28T21:24:52Z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0x010100C8EF9AD7A97A114E82B6C4FE2B96F09E</vt:lpwstr>
  </property>
  <property fmtid="{D5CDD505-2E9C-101B-9397-08002B2CF9AE}" pid="3" name="AuthorIds_UIVersion_1536">
    <vt:lpwstr>261</vt:lpwstr>
  </property>
</Properties>
</file>