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620" firstSheet="1" activeTab="2"/>
  </bookViews>
  <sheets>
    <sheet name="Português|Dados" sheetId="1" state="hidden" r:id="rId1"/>
    <sheet name="EBITDA &amp; IS" sheetId="3" r:id="rId2"/>
    <sheet name="Cash Flow_BS_Leverage" sheetId="4" r:id="rId3"/>
  </sheets>
  <externalReferences>
    <externalReference r:id="rId4"/>
    <externalReference r:id="rId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37" i="4" l="1"/>
  <c r="N137" i="4"/>
  <c r="M137" i="4"/>
  <c r="M136" i="4"/>
  <c r="AE37" i="3" l="1"/>
  <c r="AD37" i="3"/>
  <c r="AC37" i="3"/>
  <c r="AB37" i="3"/>
  <c r="AE30" i="3"/>
  <c r="AD30" i="3"/>
  <c r="AC30" i="3"/>
  <c r="AB30" i="3"/>
  <c r="AE25" i="3"/>
  <c r="AE26" i="3" s="1"/>
  <c r="AD25" i="3"/>
  <c r="AD26" i="3" s="1"/>
  <c r="AC25" i="3"/>
  <c r="AC26" i="3" s="1"/>
  <c r="AB25" i="3"/>
  <c r="AB26" i="3" s="1"/>
  <c r="AF26" i="3" s="1"/>
  <c r="AE20" i="3"/>
  <c r="AD20" i="3"/>
  <c r="AC20" i="3"/>
  <c r="AB20" i="3"/>
  <c r="AE13" i="3"/>
  <c r="AD13" i="3"/>
  <c r="AC13" i="3"/>
  <c r="AB12" i="3"/>
  <c r="AB13" i="3" s="1"/>
  <c r="AE11" i="3"/>
  <c r="AD11" i="3"/>
  <c r="AC11" i="3"/>
  <c r="AB11" i="3"/>
  <c r="AE7" i="3"/>
  <c r="AE9" i="3" s="1"/>
  <c r="AD7" i="3"/>
  <c r="AD9" i="3" s="1"/>
  <c r="AC7" i="3"/>
  <c r="AC9" i="3" s="1"/>
  <c r="AB7" i="3"/>
  <c r="AB9" i="3" s="1"/>
  <c r="AF39" i="3"/>
  <c r="AF36" i="3"/>
  <c r="AF35" i="3"/>
  <c r="AF34" i="3"/>
  <c r="AF32" i="3"/>
  <c r="AF31" i="3"/>
  <c r="AF29" i="3"/>
  <c r="AF28" i="3"/>
  <c r="AF27" i="3"/>
  <c r="AF24" i="3"/>
  <c r="AF23" i="3"/>
  <c r="AF22" i="3"/>
  <c r="AF21" i="3"/>
  <c r="AF20" i="3"/>
  <c r="AF19" i="3"/>
  <c r="AF18" i="3"/>
  <c r="AF17" i="3"/>
  <c r="AF16" i="3"/>
  <c r="AF7" i="3"/>
  <c r="AF8" i="3" s="1"/>
  <c r="R137" i="4"/>
  <c r="Q137" i="4"/>
  <c r="T136" i="4"/>
  <c r="T137" i="4" s="1"/>
  <c r="R136" i="4"/>
  <c r="Q136" i="4"/>
  <c r="O136" i="4"/>
  <c r="O137" i="4" s="1"/>
  <c r="P133" i="4"/>
  <c r="T131" i="4"/>
  <c r="S131" i="4" s="1"/>
  <c r="R131" i="4"/>
  <c r="R132" i="4" s="1"/>
  <c r="R134" i="4" s="1"/>
  <c r="Q131" i="4"/>
  <c r="P131" i="4"/>
  <c r="P132" i="4" s="1"/>
  <c r="T130" i="4"/>
  <c r="S130" i="4"/>
  <c r="R130" i="4"/>
  <c r="Q130" i="4"/>
  <c r="Q132" i="4" s="1"/>
  <c r="Q134" i="4" s="1"/>
  <c r="P130" i="4"/>
  <c r="T126" i="4"/>
  <c r="S126" i="4" s="1"/>
  <c r="R126" i="4"/>
  <c r="P126" i="4"/>
  <c r="T118" i="4"/>
  <c r="S118" i="4"/>
  <c r="R118" i="4"/>
  <c r="Q118" i="4"/>
  <c r="Q126" i="4" s="1"/>
  <c r="P118" i="4"/>
  <c r="T107" i="4"/>
  <c r="S107" i="4" s="1"/>
  <c r="R107" i="4"/>
  <c r="Q107" i="4"/>
  <c r="P107" i="4"/>
  <c r="P94" i="4" s="1"/>
  <c r="T95" i="4"/>
  <c r="S95" i="4"/>
  <c r="R95" i="4"/>
  <c r="Q95" i="4"/>
  <c r="Q94" i="4" s="1"/>
  <c r="P95" i="4"/>
  <c r="R94" i="4"/>
  <c r="T74" i="4"/>
  <c r="S74" i="4"/>
  <c r="R74" i="4"/>
  <c r="Q74" i="4"/>
  <c r="P74" i="4"/>
  <c r="T65" i="4"/>
  <c r="S65" i="4" s="1"/>
  <c r="R65" i="4"/>
  <c r="R64" i="4" s="1"/>
  <c r="R63" i="4" s="1"/>
  <c r="Q65" i="4"/>
  <c r="P65" i="4"/>
  <c r="P64" i="4" s="1"/>
  <c r="Q64" i="4"/>
  <c r="Q63" i="4" s="1"/>
  <c r="T58" i="4"/>
  <c r="P58" i="4"/>
  <c r="T57" i="4"/>
  <c r="S57" i="4" s="1"/>
  <c r="T56" i="4"/>
  <c r="S56" i="4"/>
  <c r="R56" i="4"/>
  <c r="R57" i="4" s="1"/>
  <c r="Q56" i="4"/>
  <c r="Q57" i="4" s="1"/>
  <c r="P56" i="4"/>
  <c r="T42" i="4"/>
  <c r="S42" i="4" s="1"/>
  <c r="R42" i="4"/>
  <c r="Q42" i="4"/>
  <c r="P42" i="4"/>
  <c r="T35" i="4"/>
  <c r="S35" i="4"/>
  <c r="R35" i="4"/>
  <c r="Q35" i="4"/>
  <c r="P20" i="4"/>
  <c r="P35" i="4" s="1"/>
  <c r="P57" i="4" s="1"/>
  <c r="P60" i="4" s="1"/>
  <c r="Q58" i="4" s="1"/>
  <c r="L30" i="4"/>
  <c r="P134" i="4" l="1"/>
  <c r="AB33" i="3"/>
  <c r="AB38" i="3"/>
  <c r="AB40" i="3" s="1"/>
  <c r="AC33" i="3"/>
  <c r="AC38" i="3"/>
  <c r="AC40" i="3" s="1"/>
  <c r="AD33" i="3"/>
  <c r="AD38" i="3"/>
  <c r="AD40" i="3" s="1"/>
  <c r="AE33" i="3"/>
  <c r="AE38" i="3"/>
  <c r="AE40" i="3" s="1"/>
  <c r="AC8" i="3"/>
  <c r="AD8" i="3"/>
  <c r="AE8" i="3"/>
  <c r="AB8" i="3"/>
  <c r="AF37" i="3"/>
  <c r="AF25" i="3"/>
  <c r="AF30" i="3"/>
  <c r="AF10" i="3"/>
  <c r="S136" i="4"/>
  <c r="S137" i="4" s="1"/>
  <c r="Q60" i="4"/>
  <c r="R58" i="4" s="1"/>
  <c r="R60" i="4" s="1"/>
  <c r="S58" i="4" s="1"/>
  <c r="P63" i="4"/>
  <c r="T132" i="4"/>
  <c r="T60" i="4"/>
  <c r="S60" i="4" s="1"/>
  <c r="T94" i="4"/>
  <c r="S94" i="4" s="1"/>
  <c r="T64" i="4"/>
  <c r="S64" i="4" s="1"/>
  <c r="S63" i="4" s="1"/>
  <c r="N127" i="4"/>
  <c r="N125" i="4"/>
  <c r="N124" i="4"/>
  <c r="N123" i="4"/>
  <c r="N122" i="4"/>
  <c r="N121" i="4"/>
  <c r="N120" i="4"/>
  <c r="N119" i="4"/>
  <c r="N117" i="4"/>
  <c r="N116" i="4"/>
  <c r="N115" i="4"/>
  <c r="N114" i="4"/>
  <c r="N113" i="4"/>
  <c r="N112" i="4"/>
  <c r="N111" i="4"/>
  <c r="N110" i="4"/>
  <c r="N109" i="4"/>
  <c r="N108" i="4"/>
  <c r="N106" i="4"/>
  <c r="N105" i="4"/>
  <c r="N104" i="4"/>
  <c r="N103" i="4"/>
  <c r="N102" i="4"/>
  <c r="N101" i="4"/>
  <c r="N100" i="4"/>
  <c r="N99" i="4"/>
  <c r="N98" i="4"/>
  <c r="N97" i="4"/>
  <c r="N96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3" i="4"/>
  <c r="N72" i="4"/>
  <c r="N71" i="4"/>
  <c r="N70" i="4"/>
  <c r="N69" i="4"/>
  <c r="N68" i="4"/>
  <c r="N67" i="4"/>
  <c r="N66" i="4"/>
  <c r="O133" i="4"/>
  <c r="N133" i="4" s="1"/>
  <c r="O131" i="4"/>
  <c r="O130" i="4"/>
  <c r="O118" i="4"/>
  <c r="O126" i="4" s="1"/>
  <c r="N126" i="4" s="1"/>
  <c r="O107" i="4"/>
  <c r="N107" i="4" s="1"/>
  <c r="O95" i="4"/>
  <c r="N95" i="4" s="1"/>
  <c r="O74" i="4"/>
  <c r="N74" i="4" s="1"/>
  <c r="O65" i="4"/>
  <c r="O56" i="4"/>
  <c r="O42" i="4"/>
  <c r="O20" i="4"/>
  <c r="O35" i="4" s="1"/>
  <c r="AF40" i="3" l="1"/>
  <c r="AF38" i="3"/>
  <c r="AF12" i="3"/>
  <c r="AF13" i="3" s="1"/>
  <c r="AF9" i="3"/>
  <c r="AF11" i="3"/>
  <c r="AF33" i="3"/>
  <c r="T134" i="4"/>
  <c r="S134" i="4" s="1"/>
  <c r="S132" i="4"/>
  <c r="O132" i="4"/>
  <c r="N131" i="4"/>
  <c r="O64" i="4"/>
  <c r="N64" i="4" s="1"/>
  <c r="N63" i="4" s="1"/>
  <c r="N130" i="4"/>
  <c r="O57" i="4"/>
  <c r="N65" i="4"/>
  <c r="O134" i="4"/>
  <c r="N118" i="4"/>
  <c r="O94" i="4"/>
  <c r="N94" i="4" s="1"/>
  <c r="K20" i="4"/>
  <c r="K35" i="4" s="1"/>
  <c r="D20" i="4"/>
  <c r="E20" i="4"/>
  <c r="F20" i="4"/>
  <c r="F35" i="4" s="1"/>
  <c r="G20" i="4"/>
  <c r="G35" i="4" s="1"/>
  <c r="H20" i="4"/>
  <c r="H35" i="4" s="1"/>
  <c r="I20" i="4"/>
  <c r="I35" i="4" s="1"/>
  <c r="J20" i="4"/>
  <c r="C20" i="4"/>
  <c r="C35" i="4" s="1"/>
  <c r="D35" i="4"/>
  <c r="E35" i="4"/>
  <c r="J35" i="4"/>
  <c r="N59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4" i="4"/>
  <c r="N30" i="4"/>
  <c r="N32" i="4"/>
  <c r="N31" i="4"/>
  <c r="N29" i="4"/>
  <c r="N28" i="4"/>
  <c r="N27" i="4"/>
  <c r="N26" i="4"/>
  <c r="N25" i="4"/>
  <c r="N24" i="4"/>
  <c r="N23" i="4"/>
  <c r="N22" i="4"/>
  <c r="N21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AA34" i="3"/>
  <c r="AA32" i="3"/>
  <c r="AA29" i="3"/>
  <c r="AA28" i="3"/>
  <c r="AA27" i="3"/>
  <c r="AA24" i="3"/>
  <c r="AA23" i="3"/>
  <c r="AA22" i="3"/>
  <c r="AA21" i="3"/>
  <c r="AA16" i="3"/>
  <c r="AA10" i="3"/>
  <c r="AA12" i="3" s="1"/>
  <c r="Z39" i="3"/>
  <c r="AA39" i="3" s="1"/>
  <c r="Z37" i="3"/>
  <c r="Z31" i="3"/>
  <c r="AA31" i="3" s="1"/>
  <c r="Z30" i="3"/>
  <c r="Z25" i="3"/>
  <c r="Z19" i="3"/>
  <c r="AA19" i="3" s="1"/>
  <c r="Z18" i="3"/>
  <c r="AA18" i="3" s="1"/>
  <c r="Z17" i="3"/>
  <c r="AA17" i="3" s="1"/>
  <c r="Z16" i="3"/>
  <c r="Z10" i="3"/>
  <c r="N132" i="4" l="1"/>
  <c r="N134" i="4" s="1"/>
  <c r="N20" i="4"/>
  <c r="N35" i="4" s="1"/>
  <c r="Z20" i="3"/>
  <c r="Z26" i="3"/>
  <c r="Z33" i="3" s="1"/>
  <c r="Z38" i="3" s="1"/>
  <c r="Z40" i="3" s="1"/>
  <c r="Z7" i="3"/>
  <c r="Z9" i="3" s="1"/>
  <c r="Z11" i="3"/>
  <c r="Z8" i="3"/>
  <c r="Z12" i="3"/>
  <c r="Z13" i="3" s="1"/>
  <c r="Y12" i="3"/>
  <c r="X12" i="3"/>
  <c r="W12" i="3"/>
  <c r="T12" i="3"/>
  <c r="S12" i="3"/>
  <c r="R12" i="3"/>
  <c r="W36" i="3" l="1"/>
  <c r="AA36" i="3" s="1"/>
  <c r="W35" i="3"/>
  <c r="AA35" i="3" s="1"/>
  <c r="M131" i="4" l="1"/>
  <c r="L131" i="4"/>
  <c r="K131" i="4"/>
  <c r="J130" i="4"/>
  <c r="I130" i="4"/>
  <c r="H130" i="4"/>
  <c r="G130" i="4"/>
  <c r="F130" i="4"/>
  <c r="E130" i="4"/>
  <c r="D130" i="4"/>
  <c r="C130" i="4"/>
  <c r="M130" i="4"/>
  <c r="L130" i="4"/>
  <c r="K130" i="4"/>
  <c r="L132" i="4" l="1"/>
  <c r="M132" i="4"/>
  <c r="K132" i="4"/>
  <c r="K42" i="4" l="1"/>
  <c r="D42" i="4"/>
  <c r="E42" i="4"/>
  <c r="F42" i="4"/>
  <c r="G42" i="4"/>
  <c r="H42" i="4"/>
  <c r="I42" i="4"/>
  <c r="J42" i="4"/>
  <c r="C42" i="4"/>
  <c r="M10" i="4"/>
  <c r="L34" i="4"/>
  <c r="M34" i="4" s="1"/>
  <c r="L55" i="4"/>
  <c r="M55" i="4" s="1"/>
  <c r="L52" i="4"/>
  <c r="M52" i="4" s="1"/>
  <c r="L51" i="4"/>
  <c r="M51" i="4" s="1"/>
  <c r="L45" i="4"/>
  <c r="M45" i="4" s="1"/>
  <c r="L37" i="4"/>
  <c r="M37" i="4" s="1"/>
  <c r="L40" i="4"/>
  <c r="M40" i="4" s="1"/>
  <c r="L38" i="4"/>
  <c r="M38" i="4" s="1"/>
  <c r="L36" i="4"/>
  <c r="M30" i="4"/>
  <c r="L32" i="4"/>
  <c r="M32" i="4" s="1"/>
  <c r="L31" i="4"/>
  <c r="M31" i="4" s="1"/>
  <c r="L29" i="4"/>
  <c r="M29" i="4" s="1"/>
  <c r="L28" i="4"/>
  <c r="M28" i="4" s="1"/>
  <c r="L27" i="4"/>
  <c r="M27" i="4" s="1"/>
  <c r="L26" i="4"/>
  <c r="M26" i="4" s="1"/>
  <c r="L25" i="4"/>
  <c r="M25" i="4" s="1"/>
  <c r="L24" i="4"/>
  <c r="M24" i="4" s="1"/>
  <c r="L23" i="4"/>
  <c r="M23" i="4" s="1"/>
  <c r="L22" i="4"/>
  <c r="M22" i="4" s="1"/>
  <c r="L21" i="4"/>
  <c r="L19" i="4"/>
  <c r="M19" i="4" s="1"/>
  <c r="L17" i="4"/>
  <c r="L16" i="4"/>
  <c r="M16" i="4" s="1"/>
  <c r="L15" i="4"/>
  <c r="M15" i="4" s="1"/>
  <c r="L13" i="4"/>
  <c r="M13" i="4" s="1"/>
  <c r="L12" i="4"/>
  <c r="M12" i="4" s="1"/>
  <c r="L11" i="4"/>
  <c r="M11" i="4" s="1"/>
  <c r="L9" i="4"/>
  <c r="M9" i="4" s="1"/>
  <c r="L8" i="4"/>
  <c r="M8" i="4" s="1"/>
  <c r="L7" i="4"/>
  <c r="X20" i="3"/>
  <c r="X7" i="3" s="1"/>
  <c r="X9" i="3" s="1"/>
  <c r="Y20" i="3"/>
  <c r="Y7" i="3" s="1"/>
  <c r="Y9" i="3" s="1"/>
  <c r="X25" i="3"/>
  <c r="Y25" i="3"/>
  <c r="X30" i="3"/>
  <c r="Y30" i="3"/>
  <c r="X37" i="3"/>
  <c r="Y37" i="3"/>
  <c r="F131" i="4"/>
  <c r="F132" i="4" s="1"/>
  <c r="G131" i="4"/>
  <c r="G132" i="4" s="1"/>
  <c r="H131" i="4"/>
  <c r="H132" i="4" s="1"/>
  <c r="I131" i="4"/>
  <c r="I132" i="4" s="1"/>
  <c r="J131" i="4"/>
  <c r="J132" i="4" s="1"/>
  <c r="L65" i="4"/>
  <c r="M65" i="4"/>
  <c r="L74" i="4"/>
  <c r="M74" i="4"/>
  <c r="L95" i="4"/>
  <c r="M95" i="4"/>
  <c r="L107" i="4"/>
  <c r="M107" i="4"/>
  <c r="L118" i="4"/>
  <c r="L126" i="4" s="1"/>
  <c r="M118" i="4"/>
  <c r="M126" i="4" s="1"/>
  <c r="M94" i="4" s="1"/>
  <c r="M21" i="4" l="1"/>
  <c r="M20" i="4" s="1"/>
  <c r="L20" i="4"/>
  <c r="M7" i="4"/>
  <c r="M35" i="4" s="1"/>
  <c r="L35" i="4"/>
  <c r="X26" i="3"/>
  <c r="L56" i="4"/>
  <c r="L42" i="4"/>
  <c r="M56" i="4"/>
  <c r="M36" i="4"/>
  <c r="M42" i="4" s="1"/>
  <c r="X33" i="3"/>
  <c r="Y26" i="3"/>
  <c r="Y33" i="3" s="1"/>
  <c r="Y38" i="3" s="1"/>
  <c r="Y40" i="3" s="1"/>
  <c r="X38" i="3"/>
  <c r="X40" i="3" s="1"/>
  <c r="Y8" i="3"/>
  <c r="X8" i="3"/>
  <c r="L94" i="4"/>
  <c r="L64" i="4"/>
  <c r="M64" i="4"/>
  <c r="K118" i="4"/>
  <c r="K126" i="4" s="1"/>
  <c r="J118" i="4"/>
  <c r="J126" i="4" s="1"/>
  <c r="I118" i="4"/>
  <c r="I126" i="4" s="1"/>
  <c r="H118" i="4"/>
  <c r="H126" i="4" s="1"/>
  <c r="G118" i="4"/>
  <c r="G126" i="4" s="1"/>
  <c r="F118" i="4"/>
  <c r="F126" i="4" s="1"/>
  <c r="E118" i="4"/>
  <c r="E126" i="4" s="1"/>
  <c r="D118" i="4"/>
  <c r="D126" i="4" s="1"/>
  <c r="C118" i="4"/>
  <c r="C126" i="4" s="1"/>
  <c r="K107" i="4"/>
  <c r="J107" i="4"/>
  <c r="I107" i="4"/>
  <c r="H107" i="4"/>
  <c r="G107" i="4"/>
  <c r="F107" i="4"/>
  <c r="E107" i="4"/>
  <c r="D107" i="4"/>
  <c r="C107" i="4"/>
  <c r="E98" i="4"/>
  <c r="E131" i="4" s="1"/>
  <c r="E132" i="4" s="1"/>
  <c r="D98" i="4"/>
  <c r="D131" i="4" s="1"/>
  <c r="D132" i="4" s="1"/>
  <c r="C98" i="4"/>
  <c r="K95" i="4"/>
  <c r="J95" i="4"/>
  <c r="I95" i="4"/>
  <c r="H95" i="4"/>
  <c r="G95" i="4"/>
  <c r="F95" i="4"/>
  <c r="F78" i="4"/>
  <c r="F74" i="4" s="1"/>
  <c r="K74" i="4"/>
  <c r="J74" i="4"/>
  <c r="I74" i="4"/>
  <c r="H74" i="4"/>
  <c r="G74" i="4"/>
  <c r="E74" i="4"/>
  <c r="D74" i="4"/>
  <c r="C74" i="4"/>
  <c r="F73" i="4"/>
  <c r="F65" i="4" s="1"/>
  <c r="K65" i="4"/>
  <c r="J65" i="4"/>
  <c r="I65" i="4"/>
  <c r="H65" i="4"/>
  <c r="G65" i="4"/>
  <c r="E65" i="4"/>
  <c r="D65" i="4"/>
  <c r="C65" i="4"/>
  <c r="G59" i="4"/>
  <c r="K56" i="4"/>
  <c r="J56" i="4"/>
  <c r="I56" i="4"/>
  <c r="H56" i="4"/>
  <c r="G56" i="4"/>
  <c r="F56" i="4"/>
  <c r="E56" i="4"/>
  <c r="D56" i="4"/>
  <c r="C56" i="4"/>
  <c r="L57" i="4" l="1"/>
  <c r="M57" i="4"/>
  <c r="X11" i="3"/>
  <c r="X13" i="3"/>
  <c r="Y11" i="3"/>
  <c r="Y13" i="3"/>
  <c r="C64" i="4"/>
  <c r="F94" i="4"/>
  <c r="J94" i="4"/>
  <c r="M63" i="4"/>
  <c r="C95" i="4"/>
  <c r="C94" i="4" s="1"/>
  <c r="C131" i="4"/>
  <c r="C132" i="4" s="1"/>
  <c r="L63" i="4"/>
  <c r="H64" i="4"/>
  <c r="D64" i="4"/>
  <c r="K94" i="4"/>
  <c r="F64" i="4"/>
  <c r="G94" i="4"/>
  <c r="H94" i="4"/>
  <c r="E95" i="4"/>
  <c r="E94" i="4" s="1"/>
  <c r="D95" i="4"/>
  <c r="D94" i="4" s="1"/>
  <c r="G64" i="4"/>
  <c r="K64" i="4"/>
  <c r="E64" i="4"/>
  <c r="I64" i="4"/>
  <c r="I94" i="4"/>
  <c r="J64" i="4"/>
  <c r="E57" i="4"/>
  <c r="F57" i="4"/>
  <c r="K63" i="4" l="1"/>
  <c r="C57" i="4"/>
  <c r="C60" i="4" s="1"/>
  <c r="D58" i="4" s="1"/>
  <c r="G57" i="4"/>
  <c r="H57" i="4"/>
  <c r="K57" i="4"/>
  <c r="D57" i="4"/>
  <c r="D60" i="4" l="1"/>
  <c r="E58" i="4" s="1"/>
  <c r="E60" i="4" s="1"/>
  <c r="F58" i="4" s="1"/>
  <c r="F60" i="4" s="1"/>
  <c r="G58" i="4" s="1"/>
  <c r="G60" i="4" s="1"/>
  <c r="H58" i="4" s="1"/>
  <c r="H60" i="4" s="1"/>
  <c r="I58" i="4" s="1"/>
  <c r="J57" i="4"/>
  <c r="I57" i="4"/>
  <c r="L9" i="3"/>
  <c r="Q9" i="3"/>
  <c r="I60" i="4" l="1"/>
  <c r="J58" i="4" l="1"/>
  <c r="J60" i="4" s="1"/>
  <c r="L39" i="3"/>
  <c r="L36" i="3"/>
  <c r="L35" i="3"/>
  <c r="L34" i="3"/>
  <c r="L32" i="3"/>
  <c r="L31" i="3"/>
  <c r="L29" i="3"/>
  <c r="L28" i="3"/>
  <c r="L27" i="3"/>
  <c r="L24" i="3"/>
  <c r="L23" i="3"/>
  <c r="L22" i="3"/>
  <c r="L21" i="3"/>
  <c r="L19" i="3"/>
  <c r="L18" i="3"/>
  <c r="L17" i="3"/>
  <c r="L16" i="3"/>
  <c r="K58" i="4" l="1"/>
  <c r="K60" i="4" s="1"/>
  <c r="L58" i="4" s="1"/>
  <c r="L60" i="4" s="1"/>
  <c r="M58" i="4" s="1"/>
  <c r="M60" i="4" s="1"/>
  <c r="N58" i="4" s="1"/>
  <c r="O58" i="4"/>
  <c r="O60" i="4" s="1"/>
  <c r="K37" i="3"/>
  <c r="J37" i="3"/>
  <c r="I37" i="3"/>
  <c r="H37" i="3"/>
  <c r="K30" i="3"/>
  <c r="J30" i="3"/>
  <c r="I30" i="3"/>
  <c r="H30" i="3"/>
  <c r="K25" i="3"/>
  <c r="J25" i="3"/>
  <c r="I25" i="3"/>
  <c r="H25" i="3"/>
  <c r="K20" i="3"/>
  <c r="J20" i="3"/>
  <c r="I20" i="3"/>
  <c r="H20" i="3"/>
  <c r="K13" i="3"/>
  <c r="J13" i="3"/>
  <c r="Q39" i="3"/>
  <c r="Q36" i="3"/>
  <c r="Q35" i="3"/>
  <c r="Q34" i="3"/>
  <c r="Q32" i="3"/>
  <c r="Q31" i="3"/>
  <c r="Q29" i="3"/>
  <c r="Q28" i="3"/>
  <c r="Q27" i="3"/>
  <c r="Q24" i="3"/>
  <c r="Q23" i="3"/>
  <c r="Q22" i="3"/>
  <c r="Q21" i="3"/>
  <c r="Q19" i="3"/>
  <c r="Q18" i="3"/>
  <c r="Q17" i="3"/>
  <c r="Q16" i="3"/>
  <c r="N60" i="4" l="1"/>
  <c r="J7" i="3"/>
  <c r="J8" i="3" s="1"/>
  <c r="K7" i="3"/>
  <c r="K8" i="3" s="1"/>
  <c r="I13" i="3"/>
  <c r="I7" i="3"/>
  <c r="I8" i="3" s="1"/>
  <c r="H13" i="3"/>
  <c r="H7" i="3"/>
  <c r="H8" i="3" s="1"/>
  <c r="H26" i="3"/>
  <c r="H33" i="3" s="1"/>
  <c r="H38" i="3" s="1"/>
  <c r="H40" i="3" s="1"/>
  <c r="I26" i="3"/>
  <c r="I33" i="3" s="1"/>
  <c r="I38" i="3" s="1"/>
  <c r="I40" i="3" s="1"/>
  <c r="J26" i="3"/>
  <c r="J33" i="3" s="1"/>
  <c r="J38" i="3" s="1"/>
  <c r="J40" i="3" s="1"/>
  <c r="K26" i="3"/>
  <c r="K33" i="3" s="1"/>
  <c r="K38" i="3" s="1"/>
  <c r="K40" i="3" s="1"/>
  <c r="J10" i="3"/>
  <c r="I10" i="3"/>
  <c r="K10" i="3" l="1"/>
  <c r="K11" i="3" s="1"/>
  <c r="H10" i="3"/>
  <c r="H11" i="3" s="1"/>
  <c r="I11" i="3"/>
  <c r="J11" i="3"/>
  <c r="P37" i="3" l="1"/>
  <c r="O37" i="3"/>
  <c r="N37" i="3"/>
  <c r="M37" i="3"/>
  <c r="P30" i="3"/>
  <c r="O30" i="3"/>
  <c r="N30" i="3"/>
  <c r="M30" i="3"/>
  <c r="P25" i="3"/>
  <c r="O25" i="3"/>
  <c r="N25" i="3"/>
  <c r="M25" i="3"/>
  <c r="P20" i="3"/>
  <c r="O20" i="3"/>
  <c r="N20" i="3"/>
  <c r="M20" i="3"/>
  <c r="M7" i="3" l="1"/>
  <c r="O7" i="3"/>
  <c r="O10" i="3" s="1"/>
  <c r="O13" i="3" s="1"/>
  <c r="N7" i="3"/>
  <c r="N10" i="3" s="1"/>
  <c r="N13" i="3" s="1"/>
  <c r="P7" i="3"/>
  <c r="P10" i="3" s="1"/>
  <c r="P13" i="3" s="1"/>
  <c r="M26" i="3"/>
  <c r="N26" i="3"/>
  <c r="N33" i="3" s="1"/>
  <c r="N38" i="3" s="1"/>
  <c r="N40" i="3" s="1"/>
  <c r="O26" i="3"/>
  <c r="O33" i="3" s="1"/>
  <c r="O38" i="3" s="1"/>
  <c r="O40" i="3" s="1"/>
  <c r="P26" i="3"/>
  <c r="P33" i="3" s="1"/>
  <c r="P38" i="3" s="1"/>
  <c r="P40" i="3" s="1"/>
  <c r="M33" i="3"/>
  <c r="M38" i="3" s="1"/>
  <c r="M40" i="3" s="1"/>
  <c r="N8" i="3" l="1"/>
  <c r="O8" i="3"/>
  <c r="P8" i="3"/>
  <c r="N11" i="3"/>
  <c r="M10" i="3"/>
  <c r="M8" i="3"/>
  <c r="P11" i="3"/>
  <c r="O11" i="3"/>
  <c r="M11" i="3" l="1"/>
  <c r="M13" i="3" l="1"/>
  <c r="V36" i="3"/>
  <c r="V35" i="3"/>
  <c r="V34" i="3"/>
  <c r="V32" i="3"/>
  <c r="V31" i="3"/>
  <c r="V29" i="3"/>
  <c r="V28" i="3"/>
  <c r="V27" i="3"/>
  <c r="V24" i="3"/>
  <c r="V23" i="3"/>
  <c r="V22" i="3"/>
  <c r="V21" i="3"/>
  <c r="V19" i="3"/>
  <c r="V18" i="3"/>
  <c r="V17" i="3"/>
  <c r="V16" i="3"/>
  <c r="U37" i="3" l="1"/>
  <c r="U30" i="3"/>
  <c r="U25" i="3"/>
  <c r="U20" i="3"/>
  <c r="T37" i="3"/>
  <c r="T30" i="3"/>
  <c r="T25" i="3"/>
  <c r="T20" i="3"/>
  <c r="S37" i="3"/>
  <c r="S30" i="3"/>
  <c r="S25" i="3"/>
  <c r="S20" i="3"/>
  <c r="R37" i="3"/>
  <c r="R30" i="3"/>
  <c r="R25" i="3"/>
  <c r="R20" i="3"/>
  <c r="V20" i="3"/>
  <c r="V25" i="3"/>
  <c r="V30" i="3"/>
  <c r="V37" i="3"/>
  <c r="S7" i="3" l="1"/>
  <c r="S9" i="3" s="1"/>
  <c r="V7" i="3"/>
  <c r="U7" i="3"/>
  <c r="U9" i="3" s="1"/>
  <c r="R7" i="3"/>
  <c r="R9" i="3" s="1"/>
  <c r="T7" i="3"/>
  <c r="T9" i="3" s="1"/>
  <c r="S26" i="3"/>
  <c r="S33" i="3" s="1"/>
  <c r="S38" i="3" s="1"/>
  <c r="S40" i="3" s="1"/>
  <c r="T26" i="3"/>
  <c r="T33" i="3" s="1"/>
  <c r="T38" i="3" s="1"/>
  <c r="T40" i="3" s="1"/>
  <c r="R26" i="3"/>
  <c r="R33" i="3" s="1"/>
  <c r="R38" i="3" s="1"/>
  <c r="R40" i="3" s="1"/>
  <c r="U26" i="3"/>
  <c r="U33" i="3" s="1"/>
  <c r="U38" i="3" s="1"/>
  <c r="U40" i="3" s="1"/>
  <c r="V26" i="3"/>
  <c r="V33" i="3" s="1"/>
  <c r="V38" i="3" s="1"/>
  <c r="V9" i="3" l="1"/>
  <c r="V10" i="3" s="1"/>
  <c r="V12" i="3" s="1"/>
  <c r="U12" i="3" s="1"/>
  <c r="V39" i="3"/>
  <c r="V40" i="3" s="1"/>
  <c r="U8" i="3"/>
  <c r="T8" i="3"/>
  <c r="S8" i="3"/>
  <c r="R8" i="3"/>
  <c r="V8" i="3"/>
  <c r="J133" i="4" l="1"/>
  <c r="J134" i="4" s="1"/>
  <c r="U13" i="3"/>
  <c r="R13" i="3"/>
  <c r="U11" i="3"/>
  <c r="T13" i="3"/>
  <c r="T11" i="3"/>
  <c r="S13" i="3"/>
  <c r="S11" i="3"/>
  <c r="R11" i="3"/>
  <c r="V11" i="3"/>
  <c r="V13" i="3"/>
  <c r="W37" i="3" l="1"/>
  <c r="AA37" i="3" s="1"/>
  <c r="W30" i="3"/>
  <c r="AA30" i="3" s="1"/>
  <c r="W25" i="3"/>
  <c r="AA25" i="3" s="1"/>
  <c r="W20" i="3"/>
  <c r="AA20" i="3" s="1"/>
  <c r="AA13" i="3" l="1"/>
  <c r="AA11" i="3"/>
  <c r="W7" i="3"/>
  <c r="W26" i="3"/>
  <c r="W33" i="3" l="1"/>
  <c r="AA26" i="3"/>
  <c r="AA7" i="3"/>
  <c r="W9" i="3"/>
  <c r="M133" i="4"/>
  <c r="M134" i="4" s="1"/>
  <c r="L133" i="4"/>
  <c r="L134" i="4" s="1"/>
  <c r="K133" i="4"/>
  <c r="K134" i="4" s="1"/>
  <c r="W8" i="3"/>
  <c r="W13" i="3"/>
  <c r="W11" i="3"/>
  <c r="AA9" i="3" l="1"/>
  <c r="AA8" i="3"/>
  <c r="W38" i="3"/>
  <c r="AA33" i="3"/>
  <c r="F37" i="3"/>
  <c r="E37" i="3"/>
  <c r="D37" i="3"/>
  <c r="C37" i="3"/>
  <c r="AA38" i="3" l="1"/>
  <c r="W40" i="3"/>
  <c r="AA40" i="3" s="1"/>
  <c r="F30" i="3"/>
  <c r="E30" i="3"/>
  <c r="D30" i="3"/>
  <c r="C30" i="3"/>
  <c r="F25" i="3"/>
  <c r="E25" i="3"/>
  <c r="D25" i="3"/>
  <c r="C25" i="3"/>
  <c r="F20" i="3" l="1"/>
  <c r="E20" i="3"/>
  <c r="D20" i="3"/>
  <c r="C20" i="3"/>
  <c r="D26" i="3" l="1"/>
  <c r="D33" i="3" s="1"/>
  <c r="D38" i="3" s="1"/>
  <c r="D7" i="3"/>
  <c r="E26" i="3"/>
  <c r="E33" i="3" s="1"/>
  <c r="E38" i="3" s="1"/>
  <c r="E40" i="3" s="1"/>
  <c r="E7" i="3"/>
  <c r="C26" i="3"/>
  <c r="C33" i="3" s="1"/>
  <c r="C38" i="3" s="1"/>
  <c r="C40" i="3" s="1"/>
  <c r="C7" i="3"/>
  <c r="F26" i="3"/>
  <c r="F33" i="3" s="1"/>
  <c r="F38" i="3" s="1"/>
  <c r="F40" i="3" s="1"/>
  <c r="F7" i="3"/>
  <c r="D40" i="3"/>
  <c r="E10" i="3" l="1"/>
  <c r="E133" i="4" s="1"/>
  <c r="E134" i="4" s="1"/>
  <c r="E8" i="3"/>
  <c r="C8" i="3"/>
  <c r="C10" i="3"/>
  <c r="C133" i="4" s="1"/>
  <c r="C134" i="4" s="1"/>
  <c r="F10" i="3"/>
  <c r="F133" i="4" s="1"/>
  <c r="F134" i="4" s="1"/>
  <c r="F8" i="3"/>
  <c r="D10" i="3"/>
  <c r="D133" i="4" s="1"/>
  <c r="D134" i="4" s="1"/>
  <c r="D8" i="3"/>
  <c r="F13" i="3" l="1"/>
  <c r="F11" i="3"/>
  <c r="C11" i="3"/>
  <c r="C13" i="3"/>
  <c r="E13" i="3"/>
  <c r="E11" i="3"/>
  <c r="D13" i="3"/>
  <c r="D11" i="3"/>
  <c r="G25" i="3" l="1"/>
  <c r="Q30" i="3" l="1"/>
  <c r="L30" i="3"/>
  <c r="G30" i="3"/>
  <c r="L25" i="3" l="1"/>
  <c r="Q25" i="3" l="1"/>
  <c r="Q20" i="3"/>
  <c r="Q7" i="3" l="1"/>
  <c r="L20" i="3"/>
  <c r="L26" i="3" l="1"/>
  <c r="L33" i="3" s="1"/>
  <c r="L7" i="3"/>
  <c r="Q37" i="3"/>
  <c r="L37" i="3"/>
  <c r="G37" i="3"/>
  <c r="Q26" i="3"/>
  <c r="L10" i="3" l="1"/>
  <c r="H133" i="4" s="1"/>
  <c r="H134" i="4" s="1"/>
  <c r="Q8" i="3"/>
  <c r="L38" i="3"/>
  <c r="Q33" i="3"/>
  <c r="Q38" i="3" s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L13" i="3" l="1"/>
  <c r="L11" i="3"/>
  <c r="L8" i="3"/>
  <c r="Q10" i="3"/>
  <c r="Q40" i="3"/>
  <c r="L40" i="3"/>
  <c r="C164" i="1"/>
  <c r="C169" i="1" s="1"/>
  <c r="C155" i="1"/>
  <c r="C143" i="1"/>
  <c r="C124" i="1"/>
  <c r="C109" i="1"/>
  <c r="C105" i="1"/>
  <c r="C95" i="1"/>
  <c r="C89" i="1"/>
  <c r="C64" i="1"/>
  <c r="C57" i="1"/>
  <c r="C52" i="1"/>
  <c r="C53" i="1" s="1"/>
  <c r="C48" i="1"/>
  <c r="C38" i="1"/>
  <c r="C23" i="1"/>
  <c r="C21" i="1"/>
  <c r="C22" i="1" s="1"/>
  <c r="C14" i="1"/>
  <c r="C12" i="1"/>
  <c r="C10" i="1"/>
  <c r="AI164" i="1"/>
  <c r="AI169" i="1" s="1"/>
  <c r="AI142" i="1" s="1"/>
  <c r="AI155" i="1"/>
  <c r="AI143" i="1"/>
  <c r="AI124" i="1"/>
  <c r="AI109" i="1"/>
  <c r="AI105" i="1"/>
  <c r="AI95" i="1"/>
  <c r="AI89" i="1"/>
  <c r="AI64" i="1"/>
  <c r="AI57" i="1"/>
  <c r="AI51" i="1"/>
  <c r="AI49" i="1"/>
  <c r="AI52" i="1" s="1"/>
  <c r="AI48" i="1"/>
  <c r="AI37" i="1"/>
  <c r="AI23" i="1"/>
  <c r="AI21" i="1"/>
  <c r="AI22" i="1" s="1"/>
  <c r="AI12" i="1"/>
  <c r="AI10" i="1"/>
  <c r="C18" i="1" l="1"/>
  <c r="C19" i="1"/>
  <c r="AI24" i="1"/>
  <c r="C24" i="1"/>
  <c r="C142" i="1"/>
  <c r="AI18" i="1"/>
  <c r="AI19" i="1"/>
  <c r="I133" i="4"/>
  <c r="I134" i="4" s="1"/>
  <c r="Q12" i="3"/>
  <c r="AI53" i="1"/>
  <c r="AI60" i="1" s="1"/>
  <c r="AI65" i="1" s="1"/>
  <c r="AI14" i="1"/>
  <c r="AI15" i="1" s="1"/>
  <c r="C26" i="1"/>
  <c r="C15" i="1"/>
  <c r="C60" i="1"/>
  <c r="C65" i="1" s="1"/>
  <c r="C73" i="1" s="1"/>
  <c r="C99" i="1" s="1"/>
  <c r="C110" i="1" s="1"/>
  <c r="C112" i="1" s="1"/>
  <c r="C118" i="1" s="1"/>
  <c r="C117" i="1" s="1"/>
  <c r="C116" i="1" s="1"/>
  <c r="Q13" i="3"/>
  <c r="Q11" i="3"/>
  <c r="C29" i="1"/>
  <c r="C27" i="1"/>
  <c r="AG169" i="1"/>
  <c r="AF169" i="1"/>
  <c r="AC169" i="1"/>
  <c r="AB169" i="1"/>
  <c r="Y169" i="1"/>
  <c r="X169" i="1"/>
  <c r="U169" i="1"/>
  <c r="T169" i="1"/>
  <c r="Q169" i="1"/>
  <c r="P169" i="1"/>
  <c r="M169" i="1"/>
  <c r="L169" i="1"/>
  <c r="I169" i="1"/>
  <c r="H169" i="1"/>
  <c r="E169" i="1"/>
  <c r="D169" i="1"/>
  <c r="AH164" i="1"/>
  <c r="AH169" i="1" s="1"/>
  <c r="AG164" i="1"/>
  <c r="AF164" i="1"/>
  <c r="AE164" i="1"/>
  <c r="AE169" i="1" s="1"/>
  <c r="AD164" i="1"/>
  <c r="AD169" i="1" s="1"/>
  <c r="AC164" i="1"/>
  <c r="AB164" i="1"/>
  <c r="AA164" i="1"/>
  <c r="AA169" i="1" s="1"/>
  <c r="Z164" i="1"/>
  <c r="Z169" i="1" s="1"/>
  <c r="Y164" i="1"/>
  <c r="X164" i="1"/>
  <c r="W164" i="1"/>
  <c r="W169" i="1" s="1"/>
  <c r="V164" i="1"/>
  <c r="V169" i="1" s="1"/>
  <c r="U164" i="1"/>
  <c r="T164" i="1"/>
  <c r="S164" i="1"/>
  <c r="S169" i="1" s="1"/>
  <c r="R164" i="1"/>
  <c r="R169" i="1" s="1"/>
  <c r="Q164" i="1"/>
  <c r="P164" i="1"/>
  <c r="O164" i="1"/>
  <c r="O169" i="1" s="1"/>
  <c r="N164" i="1"/>
  <c r="N169" i="1" s="1"/>
  <c r="M164" i="1"/>
  <c r="L164" i="1"/>
  <c r="K164" i="1"/>
  <c r="K169" i="1" s="1"/>
  <c r="J164" i="1"/>
  <c r="J169" i="1" s="1"/>
  <c r="I164" i="1"/>
  <c r="H164" i="1"/>
  <c r="G164" i="1"/>
  <c r="G169" i="1" s="1"/>
  <c r="F164" i="1"/>
  <c r="F169" i="1" s="1"/>
  <c r="E164" i="1"/>
  <c r="D164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AH143" i="1"/>
  <c r="AH142" i="1" s="1"/>
  <c r="AG143" i="1"/>
  <c r="AG142" i="1" s="1"/>
  <c r="AF143" i="1"/>
  <c r="AF142" i="1" s="1"/>
  <c r="AE143" i="1"/>
  <c r="AE142" i="1" s="1"/>
  <c r="AD143" i="1"/>
  <c r="AD142" i="1" s="1"/>
  <c r="AC143" i="1"/>
  <c r="AC142" i="1" s="1"/>
  <c r="AB143" i="1"/>
  <c r="AB142" i="1" s="1"/>
  <c r="AA143" i="1"/>
  <c r="AA142" i="1" s="1"/>
  <c r="Z143" i="1"/>
  <c r="Z142" i="1" s="1"/>
  <c r="Y143" i="1"/>
  <c r="Y142" i="1" s="1"/>
  <c r="X143" i="1"/>
  <c r="X142" i="1" s="1"/>
  <c r="W143" i="1"/>
  <c r="W142" i="1" s="1"/>
  <c r="V143" i="1"/>
  <c r="V142" i="1" s="1"/>
  <c r="U143" i="1"/>
  <c r="U142" i="1" s="1"/>
  <c r="T143" i="1"/>
  <c r="T142" i="1" s="1"/>
  <c r="S143" i="1"/>
  <c r="S142" i="1" s="1"/>
  <c r="R143" i="1"/>
  <c r="R142" i="1" s="1"/>
  <c r="Q143" i="1"/>
  <c r="Q142" i="1" s="1"/>
  <c r="P143" i="1"/>
  <c r="P142" i="1" s="1"/>
  <c r="O143" i="1"/>
  <c r="O142" i="1" s="1"/>
  <c r="N143" i="1"/>
  <c r="N142" i="1" s="1"/>
  <c r="M143" i="1"/>
  <c r="M142" i="1" s="1"/>
  <c r="L143" i="1"/>
  <c r="L142" i="1" s="1"/>
  <c r="K143" i="1"/>
  <c r="K142" i="1" s="1"/>
  <c r="J143" i="1"/>
  <c r="J142" i="1" s="1"/>
  <c r="I143" i="1"/>
  <c r="I142" i="1" s="1"/>
  <c r="H143" i="1"/>
  <c r="H142" i="1" s="1"/>
  <c r="G143" i="1"/>
  <c r="G142" i="1" s="1"/>
  <c r="F143" i="1"/>
  <c r="F142" i="1" s="1"/>
  <c r="E143" i="1"/>
  <c r="E142" i="1" s="1"/>
  <c r="D143" i="1"/>
  <c r="D142" i="1" s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AI67" i="1" l="1"/>
  <c r="AI73" i="1"/>
  <c r="AI99" i="1" s="1"/>
  <c r="AI110" i="1" s="1"/>
  <c r="AI112" i="1" s="1"/>
  <c r="AI118" i="1" s="1"/>
  <c r="C67" i="1"/>
  <c r="AI26" i="1"/>
  <c r="C33" i="1"/>
  <c r="C34" i="1" s="1"/>
  <c r="C30" i="1"/>
  <c r="AI117" i="1"/>
  <c r="AI116" i="1" s="1"/>
  <c r="AI36" i="1"/>
  <c r="AI38" i="1" s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AH14" i="1"/>
  <c r="AH15" i="1" s="1"/>
  <c r="AG14" i="1"/>
  <c r="AG15" i="1" s="1"/>
  <c r="AF14" i="1"/>
  <c r="AF15" i="1" s="1"/>
  <c r="AE14" i="1"/>
  <c r="AE15" i="1" s="1"/>
  <c r="AD14" i="1"/>
  <c r="AD15" i="1" s="1"/>
  <c r="AC14" i="1"/>
  <c r="AC15" i="1" s="1"/>
  <c r="AB14" i="1"/>
  <c r="AB15" i="1" s="1"/>
  <c r="AA14" i="1"/>
  <c r="AA15" i="1" s="1"/>
  <c r="Z14" i="1"/>
  <c r="Z15" i="1" s="1"/>
  <c r="Y14" i="1"/>
  <c r="Y15" i="1" s="1"/>
  <c r="X14" i="1"/>
  <c r="X15" i="1" s="1"/>
  <c r="W14" i="1"/>
  <c r="W15" i="1" s="1"/>
  <c r="V14" i="1"/>
  <c r="V15" i="1" s="1"/>
  <c r="U14" i="1"/>
  <c r="U15" i="1" s="1"/>
  <c r="T14" i="1"/>
  <c r="T15" i="1" s="1"/>
  <c r="S14" i="1"/>
  <c r="S15" i="1" s="1"/>
  <c r="R14" i="1"/>
  <c r="R15" i="1" s="1"/>
  <c r="Q14" i="1"/>
  <c r="Q15" i="1" s="1"/>
  <c r="P14" i="1"/>
  <c r="P15" i="1" s="1"/>
  <c r="O14" i="1"/>
  <c r="O15" i="1" s="1"/>
  <c r="N14" i="1"/>
  <c r="N15" i="1" s="1"/>
  <c r="M14" i="1"/>
  <c r="M15" i="1" s="1"/>
  <c r="L14" i="1"/>
  <c r="L15" i="1" s="1"/>
  <c r="K14" i="1"/>
  <c r="K15" i="1" s="1"/>
  <c r="J14" i="1"/>
  <c r="J15" i="1" s="1"/>
  <c r="I14" i="1"/>
  <c r="I15" i="1" s="1"/>
  <c r="H14" i="1"/>
  <c r="H15" i="1" s="1"/>
  <c r="G14" i="1"/>
  <c r="G15" i="1" s="1"/>
  <c r="F14" i="1"/>
  <c r="F15" i="1" s="1"/>
  <c r="E14" i="1"/>
  <c r="E15" i="1" s="1"/>
  <c r="D14" i="1"/>
  <c r="D15" i="1" s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I27" i="1" l="1"/>
  <c r="AI29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J26" i="1" l="1"/>
  <c r="J18" i="1"/>
  <c r="J19" i="1"/>
  <c r="R26" i="1"/>
  <c r="R27" i="1" s="1"/>
  <c r="R18" i="1"/>
  <c r="R19" i="1"/>
  <c r="Z26" i="1"/>
  <c r="Z29" i="1" s="1"/>
  <c r="Z18" i="1"/>
  <c r="Z19" i="1"/>
  <c r="AH26" i="1"/>
  <c r="AH18" i="1"/>
  <c r="AH19" i="1"/>
  <c r="K26" i="1"/>
  <c r="K18" i="1"/>
  <c r="K19" i="1"/>
  <c r="W26" i="1"/>
  <c r="W29" i="1" s="1"/>
  <c r="W18" i="1"/>
  <c r="W19" i="1"/>
  <c r="H26" i="1"/>
  <c r="H27" i="1" s="1"/>
  <c r="H19" i="1"/>
  <c r="H18" i="1"/>
  <c r="P26" i="1"/>
  <c r="P19" i="1"/>
  <c r="P18" i="1"/>
  <c r="X26" i="1"/>
  <c r="X19" i="1"/>
  <c r="X18" i="1"/>
  <c r="AB26" i="1"/>
  <c r="AB29" i="1" s="1"/>
  <c r="AB19" i="1"/>
  <c r="AB18" i="1"/>
  <c r="AF26" i="1"/>
  <c r="AF27" i="1" s="1"/>
  <c r="AF19" i="1"/>
  <c r="AF18" i="1"/>
  <c r="AI33" i="1"/>
  <c r="AI34" i="1" s="1"/>
  <c r="AI30" i="1"/>
  <c r="F26" i="1"/>
  <c r="F27" i="1" s="1"/>
  <c r="F18" i="1"/>
  <c r="F19" i="1"/>
  <c r="N26" i="1"/>
  <c r="N27" i="1" s="1"/>
  <c r="N18" i="1"/>
  <c r="N19" i="1"/>
  <c r="V26" i="1"/>
  <c r="V18" i="1"/>
  <c r="V19" i="1"/>
  <c r="AD26" i="1"/>
  <c r="AD18" i="1"/>
  <c r="AD19" i="1"/>
  <c r="G26" i="1"/>
  <c r="G29" i="1" s="1"/>
  <c r="G18" i="1"/>
  <c r="G19" i="1"/>
  <c r="O26" i="1"/>
  <c r="O29" i="1" s="1"/>
  <c r="O18" i="1"/>
  <c r="O19" i="1"/>
  <c r="S26" i="1"/>
  <c r="S18" i="1"/>
  <c r="S19" i="1"/>
  <c r="AA26" i="1"/>
  <c r="AA18" i="1"/>
  <c r="AA19" i="1"/>
  <c r="AE26" i="1"/>
  <c r="AE29" i="1" s="1"/>
  <c r="AE18" i="1"/>
  <c r="AE19" i="1"/>
  <c r="D26" i="1"/>
  <c r="D27" i="1" s="1"/>
  <c r="D19" i="1"/>
  <c r="D18" i="1"/>
  <c r="L26" i="1"/>
  <c r="L19" i="1"/>
  <c r="L18" i="1"/>
  <c r="T26" i="1"/>
  <c r="T19" i="1"/>
  <c r="T18" i="1"/>
  <c r="E26" i="1"/>
  <c r="E29" i="1" s="1"/>
  <c r="E19" i="1"/>
  <c r="E18" i="1"/>
  <c r="I26" i="1"/>
  <c r="I29" i="1" s="1"/>
  <c r="I19" i="1"/>
  <c r="I18" i="1"/>
  <c r="M26" i="1"/>
  <c r="M19" i="1"/>
  <c r="M18" i="1"/>
  <c r="Q26" i="1"/>
  <c r="Q19" i="1"/>
  <c r="Q18" i="1"/>
  <c r="U26" i="1"/>
  <c r="U27" i="1" s="1"/>
  <c r="U19" i="1"/>
  <c r="U18" i="1"/>
  <c r="Y26" i="1"/>
  <c r="Y27" i="1" s="1"/>
  <c r="Y19" i="1"/>
  <c r="Y18" i="1"/>
  <c r="AC26" i="1"/>
  <c r="AC19" i="1"/>
  <c r="AC18" i="1"/>
  <c r="AG26" i="1"/>
  <c r="AG19" i="1"/>
  <c r="AG18" i="1"/>
  <c r="H29" i="1"/>
  <c r="P29" i="1"/>
  <c r="P27" i="1"/>
  <c r="X29" i="1"/>
  <c r="X27" i="1"/>
  <c r="M29" i="1"/>
  <c r="M27" i="1"/>
  <c r="Q29" i="1"/>
  <c r="Q27" i="1"/>
  <c r="Y29" i="1"/>
  <c r="AG29" i="1"/>
  <c r="AG27" i="1"/>
  <c r="N29" i="1"/>
  <c r="Z27" i="1"/>
  <c r="AD29" i="1"/>
  <c r="AD27" i="1"/>
  <c r="AH29" i="1"/>
  <c r="AH27" i="1"/>
  <c r="D29" i="1"/>
  <c r="L29" i="1"/>
  <c r="L27" i="1"/>
  <c r="T29" i="1"/>
  <c r="T27" i="1"/>
  <c r="AF29" i="1"/>
  <c r="AI39" i="1" s="1"/>
  <c r="I27" i="1"/>
  <c r="U29" i="1"/>
  <c r="AC29" i="1"/>
  <c r="AC27" i="1"/>
  <c r="F29" i="1"/>
  <c r="J29" i="1"/>
  <c r="J27" i="1"/>
  <c r="R29" i="1"/>
  <c r="V29" i="1"/>
  <c r="V27" i="1"/>
  <c r="Q22" i="1"/>
  <c r="AG22" i="1"/>
  <c r="Q24" i="1"/>
  <c r="AG24" i="1"/>
  <c r="R22" i="1"/>
  <c r="AH22" i="1"/>
  <c r="R24" i="1"/>
  <c r="AH24" i="1"/>
  <c r="AE22" i="1"/>
  <c r="S24" i="1"/>
  <c r="P22" i="1"/>
  <c r="AF22" i="1"/>
  <c r="P24" i="1"/>
  <c r="AF24" i="1"/>
  <c r="H24" i="1"/>
  <c r="AC22" i="1"/>
  <c r="N22" i="1"/>
  <c r="AD24" i="1"/>
  <c r="AE24" i="1"/>
  <c r="L24" i="1"/>
  <c r="G22" i="1"/>
  <c r="E22" i="1"/>
  <c r="U22" i="1"/>
  <c r="E24" i="1"/>
  <c r="U24" i="1"/>
  <c r="F22" i="1"/>
  <c r="V22" i="1"/>
  <c r="F24" i="1"/>
  <c r="V24" i="1"/>
  <c r="S22" i="1"/>
  <c r="G24" i="1"/>
  <c r="W24" i="1"/>
  <c r="D22" i="1"/>
  <c r="T22" i="1"/>
  <c r="D24" i="1"/>
  <c r="T24" i="1"/>
  <c r="H22" i="1"/>
  <c r="X24" i="1"/>
  <c r="M22" i="1"/>
  <c r="AC24" i="1"/>
  <c r="N24" i="1"/>
  <c r="O24" i="1"/>
  <c r="AB22" i="1"/>
  <c r="K22" i="1"/>
  <c r="I22" i="1"/>
  <c r="Y22" i="1"/>
  <c r="I24" i="1"/>
  <c r="Y24" i="1"/>
  <c r="J22" i="1"/>
  <c r="Z22" i="1"/>
  <c r="J24" i="1"/>
  <c r="Z24" i="1"/>
  <c r="W22" i="1"/>
  <c r="K24" i="1"/>
  <c r="AA24" i="1"/>
  <c r="X22" i="1"/>
  <c r="O22" i="1"/>
  <c r="M24" i="1"/>
  <c r="AD22" i="1"/>
  <c r="AA22" i="1"/>
  <c r="L22" i="1"/>
  <c r="AB24" i="1"/>
  <c r="K29" i="1"/>
  <c r="K27" i="1"/>
  <c r="O27" i="1"/>
  <c r="S29" i="1"/>
  <c r="S27" i="1"/>
  <c r="AA29" i="1"/>
  <c r="AA27" i="1"/>
  <c r="N53" i="1"/>
  <c r="N60" i="1" s="1"/>
  <c r="N65" i="1" s="1"/>
  <c r="Z53" i="1"/>
  <c r="Z60" i="1" s="1"/>
  <c r="Z65" i="1" s="1"/>
  <c r="G53" i="1"/>
  <c r="G60" i="1" s="1"/>
  <c r="G65" i="1" s="1"/>
  <c r="K53" i="1"/>
  <c r="K60" i="1" s="1"/>
  <c r="K65" i="1" s="1"/>
  <c r="O53" i="1"/>
  <c r="O60" i="1" s="1"/>
  <c r="O65" i="1" s="1"/>
  <c r="S53" i="1"/>
  <c r="S60" i="1" s="1"/>
  <c r="S65" i="1" s="1"/>
  <c r="W53" i="1"/>
  <c r="W60" i="1" s="1"/>
  <c r="W65" i="1" s="1"/>
  <c r="AA53" i="1"/>
  <c r="AA60" i="1" s="1"/>
  <c r="AA65" i="1" s="1"/>
  <c r="AE53" i="1"/>
  <c r="AE60" i="1" s="1"/>
  <c r="AE65" i="1" s="1"/>
  <c r="F53" i="1"/>
  <c r="F60" i="1" s="1"/>
  <c r="F65" i="1" s="1"/>
  <c r="R53" i="1"/>
  <c r="R60" i="1" s="1"/>
  <c r="R65" i="1" s="1"/>
  <c r="AH53" i="1"/>
  <c r="AH60" i="1" s="1"/>
  <c r="AH65" i="1" s="1"/>
  <c r="H53" i="1"/>
  <c r="H60" i="1" s="1"/>
  <c r="H65" i="1" s="1"/>
  <c r="L53" i="1"/>
  <c r="L60" i="1" s="1"/>
  <c r="L65" i="1" s="1"/>
  <c r="P53" i="1"/>
  <c r="P60" i="1" s="1"/>
  <c r="P65" i="1" s="1"/>
  <c r="T53" i="1"/>
  <c r="T60" i="1" s="1"/>
  <c r="T65" i="1" s="1"/>
  <c r="X53" i="1"/>
  <c r="X60" i="1" s="1"/>
  <c r="X65" i="1" s="1"/>
  <c r="AB53" i="1"/>
  <c r="AB60" i="1" s="1"/>
  <c r="AB65" i="1" s="1"/>
  <c r="AF53" i="1"/>
  <c r="AF60" i="1" s="1"/>
  <c r="AF65" i="1" s="1"/>
  <c r="J53" i="1"/>
  <c r="J60" i="1" s="1"/>
  <c r="J65" i="1" s="1"/>
  <c r="V53" i="1"/>
  <c r="V60" i="1" s="1"/>
  <c r="V65" i="1" s="1"/>
  <c r="AD53" i="1"/>
  <c r="AD60" i="1" s="1"/>
  <c r="AD65" i="1" s="1"/>
  <c r="D53" i="1"/>
  <c r="D60" i="1" s="1"/>
  <c r="D65" i="1" s="1"/>
  <c r="E53" i="1"/>
  <c r="E60" i="1" s="1"/>
  <c r="E65" i="1" s="1"/>
  <c r="I53" i="1"/>
  <c r="I60" i="1" s="1"/>
  <c r="I65" i="1" s="1"/>
  <c r="M53" i="1"/>
  <c r="M60" i="1" s="1"/>
  <c r="M65" i="1" s="1"/>
  <c r="Q53" i="1"/>
  <c r="Q60" i="1" s="1"/>
  <c r="Q65" i="1" s="1"/>
  <c r="U53" i="1"/>
  <c r="U60" i="1" s="1"/>
  <c r="U65" i="1" s="1"/>
  <c r="Y53" i="1"/>
  <c r="Y60" i="1" s="1"/>
  <c r="Y65" i="1" s="1"/>
  <c r="AC53" i="1"/>
  <c r="AC60" i="1" s="1"/>
  <c r="AC65" i="1" s="1"/>
  <c r="AG53" i="1"/>
  <c r="AG60" i="1" s="1"/>
  <c r="AG65" i="1" s="1"/>
  <c r="AE27" i="1" l="1"/>
  <c r="W27" i="1"/>
  <c r="G27" i="1"/>
  <c r="AB27" i="1"/>
  <c r="E27" i="1"/>
  <c r="D67" i="1"/>
  <c r="D73" i="1"/>
  <c r="D99" i="1" s="1"/>
  <c r="D110" i="1" s="1"/>
  <c r="AG67" i="1"/>
  <c r="AG73" i="1"/>
  <c r="AG99" i="1" s="1"/>
  <c r="AG110" i="1" s="1"/>
  <c r="Y67" i="1"/>
  <c r="Y73" i="1"/>
  <c r="Y99" i="1" s="1"/>
  <c r="Y110" i="1" s="1"/>
  <c r="Q67" i="1"/>
  <c r="Q73" i="1"/>
  <c r="Q99" i="1" s="1"/>
  <c r="Q110" i="1" s="1"/>
  <c r="I67" i="1"/>
  <c r="I73" i="1"/>
  <c r="I99" i="1" s="1"/>
  <c r="I110" i="1" s="1"/>
  <c r="V67" i="1"/>
  <c r="V73" i="1"/>
  <c r="V99" i="1" s="1"/>
  <c r="V110" i="1" s="1"/>
  <c r="AF67" i="1"/>
  <c r="AF73" i="1"/>
  <c r="AF99" i="1" s="1"/>
  <c r="AF110" i="1" s="1"/>
  <c r="X67" i="1"/>
  <c r="X73" i="1"/>
  <c r="X99" i="1" s="1"/>
  <c r="X110" i="1" s="1"/>
  <c r="P67" i="1"/>
  <c r="P73" i="1"/>
  <c r="P99" i="1" s="1"/>
  <c r="P110" i="1" s="1"/>
  <c r="H67" i="1"/>
  <c r="H73" i="1"/>
  <c r="H99" i="1" s="1"/>
  <c r="H110" i="1" s="1"/>
  <c r="R67" i="1"/>
  <c r="R73" i="1"/>
  <c r="R99" i="1" s="1"/>
  <c r="R110" i="1" s="1"/>
  <c r="AA67" i="1"/>
  <c r="AA73" i="1"/>
  <c r="AA99" i="1" s="1"/>
  <c r="AA110" i="1" s="1"/>
  <c r="S67" i="1"/>
  <c r="S73" i="1"/>
  <c r="S99" i="1" s="1"/>
  <c r="S110" i="1" s="1"/>
  <c r="K67" i="1"/>
  <c r="K73" i="1"/>
  <c r="K99" i="1" s="1"/>
  <c r="K110" i="1" s="1"/>
  <c r="Z67" i="1"/>
  <c r="Z73" i="1"/>
  <c r="Z99" i="1" s="1"/>
  <c r="Z110" i="1" s="1"/>
  <c r="AC67" i="1"/>
  <c r="AC73" i="1"/>
  <c r="AC99" i="1" s="1"/>
  <c r="AC110" i="1" s="1"/>
  <c r="U67" i="1"/>
  <c r="U73" i="1"/>
  <c r="U99" i="1" s="1"/>
  <c r="U110" i="1" s="1"/>
  <c r="M67" i="1"/>
  <c r="M73" i="1"/>
  <c r="M99" i="1" s="1"/>
  <c r="M110" i="1" s="1"/>
  <c r="E67" i="1"/>
  <c r="E73" i="1"/>
  <c r="E99" i="1" s="1"/>
  <c r="E110" i="1" s="1"/>
  <c r="AD67" i="1"/>
  <c r="AD73" i="1"/>
  <c r="AD99" i="1" s="1"/>
  <c r="AD110" i="1" s="1"/>
  <c r="J67" i="1"/>
  <c r="J73" i="1"/>
  <c r="J99" i="1" s="1"/>
  <c r="J110" i="1" s="1"/>
  <c r="AB67" i="1"/>
  <c r="AB73" i="1"/>
  <c r="AB99" i="1" s="1"/>
  <c r="AB110" i="1" s="1"/>
  <c r="T67" i="1"/>
  <c r="T73" i="1"/>
  <c r="T99" i="1" s="1"/>
  <c r="T110" i="1" s="1"/>
  <c r="L67" i="1"/>
  <c r="L73" i="1"/>
  <c r="L99" i="1" s="1"/>
  <c r="L110" i="1" s="1"/>
  <c r="AH67" i="1"/>
  <c r="AH73" i="1"/>
  <c r="AH99" i="1" s="1"/>
  <c r="AH110" i="1" s="1"/>
  <c r="F67" i="1"/>
  <c r="F73" i="1"/>
  <c r="F99" i="1" s="1"/>
  <c r="F110" i="1" s="1"/>
  <c r="AE67" i="1"/>
  <c r="AE73" i="1"/>
  <c r="AE99" i="1" s="1"/>
  <c r="AE110" i="1" s="1"/>
  <c r="W67" i="1"/>
  <c r="W73" i="1"/>
  <c r="W99" i="1" s="1"/>
  <c r="W110" i="1" s="1"/>
  <c r="O67" i="1"/>
  <c r="O73" i="1"/>
  <c r="O99" i="1" s="1"/>
  <c r="O110" i="1" s="1"/>
  <c r="G67" i="1"/>
  <c r="G73" i="1"/>
  <c r="G99" i="1" s="1"/>
  <c r="G110" i="1" s="1"/>
  <c r="N67" i="1"/>
  <c r="N73" i="1"/>
  <c r="N99" i="1" s="1"/>
  <c r="N110" i="1" s="1"/>
  <c r="W33" i="1"/>
  <c r="W34" i="1" s="1"/>
  <c r="W30" i="1"/>
  <c r="V33" i="1"/>
  <c r="V34" i="1" s="1"/>
  <c r="V30" i="1"/>
  <c r="J33" i="1"/>
  <c r="J34" i="1" s="1"/>
  <c r="J30" i="1"/>
  <c r="AC33" i="1"/>
  <c r="AC34" i="1" s="1"/>
  <c r="AC30" i="1"/>
  <c r="I33" i="1"/>
  <c r="I34" i="1" s="1"/>
  <c r="I30" i="1"/>
  <c r="AB33" i="1"/>
  <c r="AB34" i="1" s="1"/>
  <c r="AB30" i="1"/>
  <c r="L33" i="1"/>
  <c r="L34" i="1" s="1"/>
  <c r="L30" i="1"/>
  <c r="AH33" i="1"/>
  <c r="AH34" i="1" s="1"/>
  <c r="AH30" i="1"/>
  <c r="Z33" i="1"/>
  <c r="Z34" i="1" s="1"/>
  <c r="Z30" i="1"/>
  <c r="AG33" i="1"/>
  <c r="AG34" i="1" s="1"/>
  <c r="AG30" i="1"/>
  <c r="Q33" i="1"/>
  <c r="Q34" i="1" s="1"/>
  <c r="Q30" i="1"/>
  <c r="E33" i="1"/>
  <c r="E34" i="1" s="1"/>
  <c r="E30" i="1"/>
  <c r="P33" i="1"/>
  <c r="P34" i="1" s="1"/>
  <c r="P30" i="1"/>
  <c r="AA33" i="1"/>
  <c r="AA34" i="1" s="1"/>
  <c r="AA30" i="1"/>
  <c r="S33" i="1"/>
  <c r="S34" i="1" s="1"/>
  <c r="S30" i="1"/>
  <c r="K33" i="1"/>
  <c r="K34" i="1" s="1"/>
  <c r="K30" i="1"/>
  <c r="AE33" i="1"/>
  <c r="AE34" i="1" s="1"/>
  <c r="AE30" i="1"/>
  <c r="O33" i="1"/>
  <c r="O34" i="1" s="1"/>
  <c r="O30" i="1"/>
  <c r="G33" i="1"/>
  <c r="G34" i="1" s="1"/>
  <c r="G30" i="1"/>
  <c r="R33" i="1"/>
  <c r="R34" i="1" s="1"/>
  <c r="R30" i="1"/>
  <c r="F33" i="1"/>
  <c r="F34" i="1" s="1"/>
  <c r="F30" i="1"/>
  <c r="U33" i="1"/>
  <c r="U34" i="1" s="1"/>
  <c r="U30" i="1"/>
  <c r="AF33" i="1"/>
  <c r="AF34" i="1" s="1"/>
  <c r="AF30" i="1"/>
  <c r="T33" i="1"/>
  <c r="T34" i="1" s="1"/>
  <c r="T30" i="1"/>
  <c r="D33" i="1"/>
  <c r="D34" i="1" s="1"/>
  <c r="D30" i="1"/>
  <c r="AD33" i="1"/>
  <c r="AD34" i="1" s="1"/>
  <c r="AD30" i="1"/>
  <c r="N33" i="1"/>
  <c r="N34" i="1" s="1"/>
  <c r="N30" i="1"/>
  <c r="Y33" i="1"/>
  <c r="Y34" i="1" s="1"/>
  <c r="Y30" i="1"/>
  <c r="M33" i="1"/>
  <c r="M34" i="1" s="1"/>
  <c r="M30" i="1"/>
  <c r="X33" i="1"/>
  <c r="X34" i="1" s="1"/>
  <c r="X30" i="1"/>
  <c r="H33" i="1"/>
  <c r="H34" i="1" s="1"/>
  <c r="H30" i="1"/>
  <c r="D111" i="1" l="1"/>
  <c r="D112" i="1"/>
  <c r="E111" i="1" l="1"/>
  <c r="E112" i="1" s="1"/>
  <c r="D118" i="1"/>
  <c r="D117" i="1" s="1"/>
  <c r="D116" i="1" s="1"/>
  <c r="F111" i="1" l="1"/>
  <c r="F112" i="1" s="1"/>
  <c r="E118" i="1"/>
  <c r="E117" i="1" s="1"/>
  <c r="E116" i="1" s="1"/>
  <c r="G111" i="1" l="1"/>
  <c r="G112" i="1" s="1"/>
  <c r="F118" i="1"/>
  <c r="F117" i="1" s="1"/>
  <c r="F116" i="1" s="1"/>
  <c r="H111" i="1" l="1"/>
  <c r="H112" i="1" s="1"/>
  <c r="G118" i="1"/>
  <c r="G117" i="1" s="1"/>
  <c r="G116" i="1" s="1"/>
  <c r="I111" i="1" l="1"/>
  <c r="I112" i="1" s="1"/>
  <c r="H118" i="1"/>
  <c r="H117" i="1" s="1"/>
  <c r="H116" i="1" s="1"/>
  <c r="J111" i="1" l="1"/>
  <c r="J112" i="1" s="1"/>
  <c r="I118" i="1"/>
  <c r="I117" i="1" s="1"/>
  <c r="I116" i="1" s="1"/>
  <c r="K111" i="1" l="1"/>
  <c r="K112" i="1" s="1"/>
  <c r="J118" i="1"/>
  <c r="J117" i="1" s="1"/>
  <c r="J116" i="1" s="1"/>
  <c r="L111" i="1" l="1"/>
  <c r="L112" i="1" s="1"/>
  <c r="K118" i="1"/>
  <c r="K117" i="1" s="1"/>
  <c r="K116" i="1" s="1"/>
  <c r="M111" i="1" l="1"/>
  <c r="M112" i="1" s="1"/>
  <c r="L118" i="1"/>
  <c r="L117" i="1" s="1"/>
  <c r="L116" i="1" s="1"/>
  <c r="N111" i="1" l="1"/>
  <c r="N112" i="1" s="1"/>
  <c r="M118" i="1"/>
  <c r="M117" i="1" s="1"/>
  <c r="M116" i="1" s="1"/>
  <c r="O111" i="1" l="1"/>
  <c r="O112" i="1" s="1"/>
  <c r="N118" i="1"/>
  <c r="N117" i="1" s="1"/>
  <c r="N116" i="1" s="1"/>
  <c r="P111" i="1" l="1"/>
  <c r="P112" i="1" s="1"/>
  <c r="O118" i="1"/>
  <c r="O117" i="1" s="1"/>
  <c r="O116" i="1" s="1"/>
  <c r="Q111" i="1" l="1"/>
  <c r="Q112" i="1" s="1"/>
  <c r="P118" i="1"/>
  <c r="P117" i="1" s="1"/>
  <c r="P116" i="1" s="1"/>
  <c r="R111" i="1" l="1"/>
  <c r="R112" i="1" s="1"/>
  <c r="Q118" i="1"/>
  <c r="Q117" i="1" s="1"/>
  <c r="Q116" i="1" s="1"/>
  <c r="S111" i="1" l="1"/>
  <c r="S112" i="1" s="1"/>
  <c r="R118" i="1"/>
  <c r="R117" i="1" s="1"/>
  <c r="R116" i="1" s="1"/>
  <c r="T111" i="1" l="1"/>
  <c r="T112" i="1" s="1"/>
  <c r="S118" i="1"/>
  <c r="S117" i="1" s="1"/>
  <c r="S116" i="1" s="1"/>
  <c r="U111" i="1" l="1"/>
  <c r="U112" i="1" s="1"/>
  <c r="T118" i="1"/>
  <c r="T117" i="1" s="1"/>
  <c r="T116" i="1" s="1"/>
  <c r="V111" i="1" l="1"/>
  <c r="V112" i="1" s="1"/>
  <c r="U118" i="1"/>
  <c r="U117" i="1" s="1"/>
  <c r="U116" i="1" s="1"/>
  <c r="W111" i="1" l="1"/>
  <c r="W112" i="1" s="1"/>
  <c r="V118" i="1"/>
  <c r="V117" i="1" s="1"/>
  <c r="V116" i="1" s="1"/>
  <c r="X111" i="1" l="1"/>
  <c r="X112" i="1" s="1"/>
  <c r="W118" i="1"/>
  <c r="W117" i="1" s="1"/>
  <c r="W116" i="1" s="1"/>
  <c r="Y111" i="1" l="1"/>
  <c r="Y112" i="1" s="1"/>
  <c r="X118" i="1"/>
  <c r="X117" i="1" s="1"/>
  <c r="X116" i="1" s="1"/>
  <c r="Z111" i="1" l="1"/>
  <c r="Z112" i="1" s="1"/>
  <c r="Y118" i="1"/>
  <c r="Y117" i="1" s="1"/>
  <c r="Y116" i="1" s="1"/>
  <c r="AA111" i="1" l="1"/>
  <c r="AA112" i="1" s="1"/>
  <c r="AA118" i="1" s="1"/>
  <c r="AA117" i="1" s="1"/>
  <c r="AA116" i="1" s="1"/>
  <c r="Z118" i="1"/>
  <c r="Z117" i="1" s="1"/>
  <c r="Z116" i="1" s="1"/>
  <c r="AH38" i="1" l="1"/>
  <c r="AH39" i="1" s="1"/>
  <c r="AG38" i="1"/>
  <c r="AG39" i="1" s="1"/>
  <c r="AF38" i="1"/>
  <c r="AF39" i="1" s="1"/>
  <c r="AE38" i="1"/>
  <c r="AE39" i="1" s="1"/>
  <c r="AD38" i="1"/>
  <c r="AD39" i="1" s="1"/>
  <c r="AC38" i="1"/>
  <c r="AC39" i="1" s="1"/>
  <c r="AB38" i="1"/>
  <c r="AB39" i="1" s="1"/>
  <c r="AA38" i="1"/>
  <c r="AA39" i="1" s="1"/>
  <c r="Z38" i="1"/>
  <c r="Z39" i="1" s="1"/>
  <c r="Y38" i="1"/>
  <c r="Y39" i="1" s="1"/>
  <c r="X38" i="1"/>
  <c r="X39" i="1" s="1"/>
  <c r="W38" i="1"/>
  <c r="W39" i="1" s="1"/>
  <c r="V38" i="1"/>
  <c r="V39" i="1" s="1"/>
  <c r="U38" i="1"/>
  <c r="U39" i="1" s="1"/>
  <c r="T38" i="1"/>
  <c r="T39" i="1" s="1"/>
  <c r="S38" i="1"/>
  <c r="S39" i="1" s="1"/>
  <c r="R38" i="1"/>
  <c r="R39" i="1" s="1"/>
  <c r="Q38" i="1"/>
  <c r="Q39" i="1" s="1"/>
  <c r="P38" i="1"/>
  <c r="P39" i="1" s="1"/>
  <c r="O38" i="1"/>
  <c r="O39" i="1" s="1"/>
  <c r="N38" i="1"/>
  <c r="N39" i="1" s="1"/>
  <c r="M38" i="1"/>
  <c r="M39" i="1" s="1"/>
  <c r="L38" i="1"/>
  <c r="L39" i="1" s="1"/>
  <c r="K38" i="1"/>
  <c r="K39" i="1" s="1"/>
  <c r="J38" i="1"/>
  <c r="J39" i="1" s="1"/>
  <c r="I38" i="1"/>
  <c r="I39" i="1" s="1"/>
  <c r="H38" i="1"/>
  <c r="H39" i="1" s="1"/>
  <c r="G38" i="1"/>
  <c r="G39" i="1" s="1"/>
  <c r="F38" i="1"/>
  <c r="F39" i="1" s="1"/>
  <c r="E38" i="1"/>
  <c r="D38" i="1"/>
  <c r="AH10" i="1" l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AB111" i="1" l="1"/>
  <c r="AB112" i="1" l="1"/>
  <c r="AC111" i="1" l="1"/>
  <c r="AB118" i="1"/>
  <c r="AB117" i="1" s="1"/>
  <c r="AB116" i="1" s="1"/>
  <c r="AC112" i="1"/>
  <c r="AD111" i="1" l="1"/>
  <c r="AD112" i="1" s="1"/>
  <c r="AC118" i="1"/>
  <c r="AC117" i="1" s="1"/>
  <c r="AC116" i="1" s="1"/>
  <c r="AE111" i="1" l="1"/>
  <c r="AE112" i="1" s="1"/>
  <c r="AD118" i="1"/>
  <c r="AD117" i="1" s="1"/>
  <c r="AD116" i="1" s="1"/>
  <c r="AF111" i="1" l="1"/>
  <c r="AF112" i="1" s="1"/>
  <c r="AE118" i="1"/>
  <c r="AE117" i="1" s="1"/>
  <c r="AE116" i="1" s="1"/>
  <c r="AG111" i="1" l="1"/>
  <c r="AG112" i="1" s="1"/>
  <c r="AF118" i="1"/>
  <c r="AF117" i="1" s="1"/>
  <c r="AF116" i="1" s="1"/>
  <c r="AH111" i="1" l="1"/>
  <c r="AH112" i="1" s="1"/>
  <c r="AG118" i="1"/>
  <c r="AG117" i="1" s="1"/>
  <c r="AG116" i="1" s="1"/>
  <c r="AH118" i="1" l="1"/>
  <c r="AH117" i="1" s="1"/>
  <c r="AH116" i="1" s="1"/>
  <c r="G20" i="3" l="1"/>
  <c r="G7" i="3" l="1"/>
  <c r="G26" i="3"/>
  <c r="G33" i="3" s="1"/>
  <c r="G38" i="3" s="1"/>
  <c r="G10" i="3" l="1"/>
  <c r="G133" i="4" s="1"/>
  <c r="G134" i="4" s="1"/>
  <c r="G8" i="3"/>
  <c r="G40" i="3"/>
  <c r="G11" i="3" l="1"/>
  <c r="G13" i="3"/>
</calcChain>
</file>

<file path=xl/comments1.xml><?xml version="1.0" encoding="utf-8"?>
<comments xmlns="http://schemas.openxmlformats.org/spreadsheetml/2006/main">
  <authors>
    <author>Autor</author>
  </authors>
  <commentList>
    <comment ref="A8" authorId="0" shapeId="0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com transferencia de concreto
</t>
        </r>
      </text>
    </comment>
    <comment ref="AI16" authorId="0" shapeId="0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FR</t>
        </r>
      </text>
    </comment>
    <comment ref="A17" authorId="0" shapeId="0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base FR, apenas cimento</t>
        </r>
      </text>
    </comment>
    <comment ref="A31" authorId="0" shapeId="0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Adj EBITDA - IFRS16</t>
        </r>
      </text>
    </comment>
    <comment ref="A44" authorId="0" shapeId="0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NE 23</t>
        </r>
      </text>
    </comment>
    <comment ref="A49" authorId="0" shapeId="0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NE 25</t>
        </r>
      </text>
    </comment>
    <comment ref="AI51" authorId="0" shapeId="0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Separar depre/ amort de custo e desp</t>
        </r>
      </text>
    </comment>
    <comment ref="A54" authorId="0" shapeId="0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NE 25</t>
        </r>
      </text>
    </comment>
    <comment ref="AI54" authorId="0" shapeId="0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Separar depre/ amort de custo e desp</t>
        </r>
      </text>
    </comment>
  </commentList>
</comments>
</file>

<file path=xl/sharedStrings.xml><?xml version="1.0" encoding="utf-8"?>
<sst xmlns="http://schemas.openxmlformats.org/spreadsheetml/2006/main" count="685" uniqueCount="330">
  <si>
    <t>1T13</t>
  </si>
  <si>
    <t>Unidade</t>
  </si>
  <si>
    <t>Receita Líquida</t>
  </si>
  <si>
    <t>Resultado financeiro</t>
  </si>
  <si>
    <t>R$ milhares</t>
  </si>
  <si>
    <t>%</t>
  </si>
  <si>
    <t>Demonstração do Resultado do Exercício</t>
  </si>
  <si>
    <t>Demonstração dos Fluxos de Caixa</t>
  </si>
  <si>
    <t>Imposto de renda e contribuição social pagos</t>
  </si>
  <si>
    <t>Balanço Patrimonial</t>
  </si>
  <si>
    <t>Ativo</t>
  </si>
  <si>
    <t>Circulante</t>
  </si>
  <si>
    <t>Caixa e Equivalente de Caixa</t>
  </si>
  <si>
    <t>Não-Circulante</t>
  </si>
  <si>
    <t>Imobilizado</t>
  </si>
  <si>
    <t>Passivo</t>
  </si>
  <si>
    <t>Fornecedores</t>
  </si>
  <si>
    <t>Capital Social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</si>
  <si>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</si>
  <si>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</si>
  <si>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</si>
  <si>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</si>
  <si>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</si>
  <si>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</si>
  <si>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</si>
  <si>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</si>
  <si>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</si>
  <si>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</si>
  <si>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</si>
  <si>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</si>
  <si>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</si>
  <si>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</si>
  <si>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EBITDA</t>
  </si>
  <si>
    <t>Margem EBITDA</t>
  </si>
  <si>
    <t>4T16</t>
  </si>
  <si>
    <t>1T17</t>
  </si>
  <si>
    <t>Outras obrigações</t>
  </si>
  <si>
    <t>2T17</t>
  </si>
  <si>
    <t>3T17</t>
  </si>
  <si>
    <t>Impostos a recuperar</t>
  </si>
  <si>
    <t>Juros pagos</t>
  </si>
  <si>
    <t>4T17</t>
  </si>
  <si>
    <t>1T18</t>
  </si>
  <si>
    <t>-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</si>
  <si>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</si>
  <si>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</si>
  <si>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</si>
  <si>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</si>
  <si>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</si>
  <si>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</si>
  <si>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</si>
  <si>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</si>
  <si>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</si>
  <si>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</si>
  <si>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</si>
  <si>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</si>
  <si>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mil tonelada</t>
  </si>
  <si>
    <t>Mercado total Brasil</t>
  </si>
  <si>
    <t>Market Share</t>
  </si>
  <si>
    <t>R$/ton</t>
  </si>
  <si>
    <t>Volume de Vendas de Cimento</t>
  </si>
  <si>
    <t>Cash Cost Total</t>
  </si>
  <si>
    <t>Não Recorrentes</t>
  </si>
  <si>
    <t>EBITDA Ajustado</t>
  </si>
  <si>
    <t>Margem EBITDA Ajustado</t>
  </si>
  <si>
    <t>EBITDA Ajustado ex. IFRS16</t>
  </si>
  <si>
    <t>Margem EBITDA Ajustado ex. IFRS16</t>
  </si>
  <si>
    <t>DAGs &amp; Despesas com Vendas</t>
  </si>
  <si>
    <t>Margem Lucro Bruto</t>
  </si>
  <si>
    <t>DAGs</t>
  </si>
  <si>
    <t>% de Receita Líquida</t>
  </si>
  <si>
    <t>EBITDA Ajustado/ Volume de Vendas</t>
  </si>
  <si>
    <t>Caixa</t>
  </si>
  <si>
    <t>Divida Bruta</t>
  </si>
  <si>
    <t>Dívida Líquida</t>
  </si>
  <si>
    <t>x</t>
  </si>
  <si>
    <t>USD/ton</t>
  </si>
  <si>
    <t>Alavancagem (Dívida Líquida/ EBITDA Ajustado LTM)</t>
  </si>
  <si>
    <t>Venda de Produtos</t>
  </si>
  <si>
    <t>Serviços Prestados</t>
  </si>
  <si>
    <t>Impostos sobre Vendas</t>
  </si>
  <si>
    <t>Abatimentos/ Descontos</t>
  </si>
  <si>
    <r>
      <t xml:space="preserve">Venda de Produtos/ Volume de Vendas </t>
    </r>
    <r>
      <rPr>
        <sz val="8"/>
        <color theme="1"/>
        <rFont val="Verdana"/>
        <family val="2"/>
      </rPr>
      <t>(proxy price)</t>
    </r>
  </si>
  <si>
    <t>Custo das vendas e dos serviços</t>
  </si>
  <si>
    <t>Custo Variável</t>
  </si>
  <si>
    <t>Custo Fixo</t>
  </si>
  <si>
    <t>Depreciação/ Amortização</t>
  </si>
  <si>
    <t>Lucro Prejuízo Bruto</t>
  </si>
  <si>
    <t>Despesas administrativas e comerciais</t>
  </si>
  <si>
    <t>Equivalência patrimonial</t>
  </si>
  <si>
    <t>Outras receitas operacionais, líquidas</t>
  </si>
  <si>
    <t>Despesas com Vendas</t>
  </si>
  <si>
    <t>Lucro (prejuízo) antes do resultado financeiro e impostos</t>
  </si>
  <si>
    <t>Variação cambial</t>
  </si>
  <si>
    <t>Receitas financeiras</t>
  </si>
  <si>
    <t>Despesas financeiras</t>
  </si>
  <si>
    <t>Lucro (Prejuízo) antes do imposto de renda e da contribuição social</t>
  </si>
  <si>
    <t>Imposto de renda e contribuição social</t>
  </si>
  <si>
    <t>Lucro (Prejuízo) do período</t>
  </si>
  <si>
    <t>Controladora</t>
  </si>
  <si>
    <t>Não controladores</t>
  </si>
  <si>
    <t>USD/ BRL médio</t>
  </si>
  <si>
    <t>Lucros (Prejuízo) antes do imposto de renda e da contribuição social</t>
  </si>
  <si>
    <t>Depreciação, amortização e exaustão</t>
  </si>
  <si>
    <t>Amortização direito de uso em arrendamentos</t>
  </si>
  <si>
    <t>Resultado de equivalência patrimonial</t>
  </si>
  <si>
    <t>Reversão de provisões para perdas eventuais, líquidas</t>
  </si>
  <si>
    <t>Recuperação de impostos</t>
  </si>
  <si>
    <t>Provisão para perdas estoques</t>
  </si>
  <si>
    <t>Juros, encargos provisionados e variações cambiais</t>
  </si>
  <si>
    <t>Ganho na venda de ativo imobilizado</t>
  </si>
  <si>
    <t>Baixa de ativo imobilizado</t>
  </si>
  <si>
    <t>Ajuste ao valor recuperável</t>
  </si>
  <si>
    <t>Partes relacionadas</t>
  </si>
  <si>
    <t>Contas a receber de clientes</t>
  </si>
  <si>
    <t>Estoques</t>
  </si>
  <si>
    <t>Outros créditos</t>
  </si>
  <si>
    <t>Redução (aumento) nos ativos operacionais</t>
  </si>
  <si>
    <t>Salários e férias e encargos sociais</t>
  </si>
  <si>
    <t>Outras obrigações e contas a pagar</t>
  </si>
  <si>
    <t>Impostos e obrigações a pagar</t>
  </si>
  <si>
    <t>Aumento (redução) nos passivos operacionais</t>
  </si>
  <si>
    <t>Processos judiciais pagos</t>
  </si>
  <si>
    <t>Caixa líquido aplicado (gerados pelas) nas atividades operacionais</t>
  </si>
  <si>
    <t>Aplicações em títulos e valores mobiliários, líquidas</t>
  </si>
  <si>
    <t>Aquisição de imobilizado</t>
  </si>
  <si>
    <t>Adições ao intangível</t>
  </si>
  <si>
    <t>Aumento do investimento</t>
  </si>
  <si>
    <t>Recebimento pela venda de ativo imobilizado</t>
  </si>
  <si>
    <t>Caixa líquido aplicado nas atividades de investimento</t>
  </si>
  <si>
    <t>Pagamentos de empréstimos, financiamentos e debêntures</t>
  </si>
  <si>
    <t>Contraprestação de arrendamentos</t>
  </si>
  <si>
    <t>Caixa líquido aplicado nas atividades de financiamento</t>
  </si>
  <si>
    <t>Redução (aumento) de caixa e equivalentes de caixa</t>
  </si>
  <si>
    <t>Caixa e equivalentes de caixa no início do exercício</t>
  </si>
  <si>
    <t>Caixa e equivalentes de caixa no fim do exercício</t>
  </si>
  <si>
    <t>Títulos e valores mobiliários</t>
  </si>
  <si>
    <t>Depósitos judiciais</t>
  </si>
  <si>
    <t>Instrumentos financeiros derivativos</t>
  </si>
  <si>
    <t>Propriedade para Investimentos</t>
  </si>
  <si>
    <t>Investimentos:</t>
  </si>
  <si>
    <t>Em controladas</t>
  </si>
  <si>
    <t>Outros</t>
  </si>
  <si>
    <t>Direito de uso em arrendamentos</t>
  </si>
  <si>
    <t>Intangível:</t>
  </si>
  <si>
    <t>Ágio</t>
  </si>
  <si>
    <t>Outros intangíveis</t>
  </si>
  <si>
    <t xml:space="preserve">Fornecedores </t>
  </si>
  <si>
    <t>Debêntures</t>
  </si>
  <si>
    <t>Empréstimos e financiamentos</t>
  </si>
  <si>
    <t>Juros a pagar</t>
  </si>
  <si>
    <t>Salários e encargos sociais</t>
  </si>
  <si>
    <t>Dividendos a pagar</t>
  </si>
  <si>
    <t>Adiantamentos de clientes</t>
  </si>
  <si>
    <t>Passivos de arrendamento</t>
  </si>
  <si>
    <t>Provisão para riscos tributários, cíveis e trabalhistas</t>
  </si>
  <si>
    <t>Provisão para reconstituição ambiental e descomissionamento de ativos</t>
  </si>
  <si>
    <t>Imposto de renda e contribuição social diferidos</t>
  </si>
  <si>
    <t>Patrimônio líquido atribuível a proprietários da controladora</t>
  </si>
  <si>
    <t>Reservas de incentivos fiscais</t>
  </si>
  <si>
    <t>Ajustes de avaliação patrimonial</t>
  </si>
  <si>
    <t>Prejuízos acumulados</t>
  </si>
  <si>
    <t xml:space="preserve">Total do patrimônio líquido </t>
  </si>
  <si>
    <t>Participação não controladores</t>
  </si>
  <si>
    <t>Cash Cost Total/ Volume de Vendas</t>
  </si>
  <si>
    <t>Cash Cost Cimento</t>
  </si>
  <si>
    <t>Cash Cost Cimentol/ Volume de Vensas</t>
  </si>
  <si>
    <t>Cash Gross Profit Cimento</t>
  </si>
  <si>
    <t>Indicadores Operacionais e Financeiros</t>
  </si>
  <si>
    <t>Unit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</si>
  <si>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</si>
  <si>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</si>
  <si>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</si>
  <si>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</si>
  <si>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</si>
  <si>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</si>
  <si>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</si>
  <si>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</si>
  <si>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</si>
  <si>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</si>
  <si>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</si>
  <si>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</si>
  <si>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</si>
  <si>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</si>
  <si>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</si>
  <si>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Operational &amp; Financial Indicators</t>
  </si>
  <si>
    <t>R$ thousands</t>
  </si>
  <si>
    <t>EBITDA Margin</t>
  </si>
  <si>
    <t>Non-Recurring</t>
  </si>
  <si>
    <t>Adjusted EBITDA</t>
  </si>
  <si>
    <t>Adjusted EBITDA Margin</t>
  </si>
  <si>
    <t>Adjusted EBITDA excl. IFRS16</t>
  </si>
  <si>
    <t>Adjusted EBITDA excl. IFRS16 Margin</t>
  </si>
  <si>
    <t>Income Statement</t>
  </si>
  <si>
    <t>Product Sales</t>
  </si>
  <si>
    <t>Service Provided</t>
  </si>
  <si>
    <t>Sales Tax</t>
  </si>
  <si>
    <t>Reduction/ Discount</t>
  </si>
  <si>
    <t>Net Revenues</t>
  </si>
  <si>
    <t>Variable Cost</t>
  </si>
  <si>
    <t>Fixed Cost</t>
  </si>
  <si>
    <t>Depreciation/ Amortization</t>
  </si>
  <si>
    <t xml:space="preserve">Freight-related Expenses </t>
  </si>
  <si>
    <t>Cost of Sales and Services</t>
  </si>
  <si>
    <t>Gross Profit</t>
  </si>
  <si>
    <t>General and Administrative</t>
  </si>
  <si>
    <t>Selling Expenses</t>
  </si>
  <si>
    <t>Administrative and Commercial Expenses</t>
  </si>
  <si>
    <t>Equity</t>
  </si>
  <si>
    <t>Other income (expenses), net</t>
  </si>
  <si>
    <t>Earning (loss) before financial income (expenses) and tax</t>
  </si>
  <si>
    <t>Exchange rate changes, net</t>
  </si>
  <si>
    <t>Financial income</t>
  </si>
  <si>
    <t>Financial expenses</t>
  </si>
  <si>
    <t>Financial income (expenses)</t>
  </si>
  <si>
    <t>Earning (loss) before tax and social contribution</t>
  </si>
  <si>
    <t>Income tax and social contribution</t>
  </si>
  <si>
    <t>Earning (loss) for the period</t>
  </si>
  <si>
    <t>Cash Flow Statement</t>
  </si>
  <si>
    <t>Depreciation, amortization and depletion</t>
  </si>
  <si>
    <t>Amortization right of use in leases</t>
  </si>
  <si>
    <t>Reversal of provisions for eventual losses, net</t>
  </si>
  <si>
    <t>Recoverable taxes</t>
  </si>
  <si>
    <t>Provision for inventory losses</t>
  </si>
  <si>
    <t>Interest, accrued finance charges and exchange rate changes</t>
  </si>
  <si>
    <t>Loss (gain) on sale of fixed assets</t>
  </si>
  <si>
    <t>Fixed Asset Write-Off</t>
  </si>
  <si>
    <t>Adjustment to recoverable value</t>
  </si>
  <si>
    <t>Related parties</t>
  </si>
  <si>
    <t>Trade receivables</t>
  </si>
  <si>
    <t>Inventories</t>
  </si>
  <si>
    <t>Other receivables</t>
  </si>
  <si>
    <t>Trade payables</t>
  </si>
  <si>
    <t>Payroll and accrued vacation</t>
  </si>
  <si>
    <t>Other payables</t>
  </si>
  <si>
    <t>Taxes and contributions payable</t>
  </si>
  <si>
    <t>Income tax and social contribution paid</t>
  </si>
  <si>
    <t>Interest paid</t>
  </si>
  <si>
    <t>Cash Flow From Operating Activities</t>
  </si>
  <si>
    <t>Redemption (investment) of securities, net</t>
  </si>
  <si>
    <t>Additions to intangible assets</t>
  </si>
  <si>
    <t>Sale of fixed assets</t>
  </si>
  <si>
    <t>Cash Flow From Investing Activities</t>
  </si>
  <si>
    <t>Capital increase</t>
  </si>
  <si>
    <t>Borrowings, financing and debentures repaid</t>
  </si>
  <si>
    <t>Sale of investment</t>
  </si>
  <si>
    <t>Borrowings, financing and debentures</t>
  </si>
  <si>
    <t>Expenses with debenture issues</t>
  </si>
  <si>
    <t>Interest on capital and dividends paid</t>
  </si>
  <si>
    <t>Lease consideration</t>
  </si>
  <si>
    <t>Cash Flow From Financing Activities</t>
  </si>
  <si>
    <t>Increase (decrease) in cash and cash equivalents</t>
  </si>
  <si>
    <t>Exchange rate changes in cash and cash equivalentes</t>
  </si>
  <si>
    <t>Equity Interest Result</t>
  </si>
  <si>
    <t>Derivatives transactions results</t>
  </si>
  <si>
    <t>Decrease (increase) in operating assets / liabilities</t>
  </si>
  <si>
    <t>Related parties (assets)</t>
  </si>
  <si>
    <t>Related parties (liabilities)</t>
  </si>
  <si>
    <t>Purchase of property, plant and equipment</t>
  </si>
  <si>
    <t>Increases on investments</t>
  </si>
  <si>
    <t>Inflow from loans to related parties</t>
  </si>
  <si>
    <t>Inflow from corporate structure change, net</t>
  </si>
  <si>
    <t>Dividends received</t>
  </si>
  <si>
    <t>Swap redemption</t>
  </si>
  <si>
    <t>Anticipation from sale of shares</t>
  </si>
  <si>
    <t>Cash and cash equivalents at beginning of the period</t>
  </si>
  <si>
    <t>Cash and cash equivalents at end of the period</t>
  </si>
  <si>
    <t>Balance Sheet</t>
  </si>
  <si>
    <t>Assets</t>
  </si>
  <si>
    <t>Current Assets</t>
  </si>
  <si>
    <t>Cash &amp; Cash Equivalents &amp; Derivatives</t>
  </si>
  <si>
    <t>Gross Debt</t>
  </si>
  <si>
    <t>Net Debt</t>
  </si>
  <si>
    <t>Leverage (Net Debt/ LTM Adjusted EBITDA)</t>
  </si>
  <si>
    <t>Adjusted EBITDA LTM</t>
  </si>
  <si>
    <t>Debt &amp; Leverage</t>
  </si>
  <si>
    <t>Cash and cash equivalents</t>
  </si>
  <si>
    <t>Marketable Securities</t>
  </si>
  <si>
    <t>Receivables from related parties</t>
  </si>
  <si>
    <t>Noncurrent Assets</t>
  </si>
  <si>
    <t>Escrow deposits</t>
  </si>
  <si>
    <t>Derivatives</t>
  </si>
  <si>
    <t>Propery investments</t>
  </si>
  <si>
    <t>Investments:</t>
  </si>
  <si>
    <t>Others</t>
  </si>
  <si>
    <t>Fixed asset</t>
  </si>
  <si>
    <t>Right to use in leases</t>
  </si>
  <si>
    <t>Intangible assets:</t>
  </si>
  <si>
    <t>Goodwill</t>
  </si>
  <si>
    <t>Liabilities and Equity</t>
  </si>
  <si>
    <t>Current Liabilities</t>
  </si>
  <si>
    <t>Debentures</t>
  </si>
  <si>
    <t>Borrowings and financing</t>
  </si>
  <si>
    <t>Accrued interest</t>
  </si>
  <si>
    <t>Taxes and contributions</t>
  </si>
  <si>
    <t>Payroll and related taxes</t>
  </si>
  <si>
    <t>Advances from customers</t>
  </si>
  <si>
    <t>Payables to related parties</t>
  </si>
  <si>
    <t>Lease Liabilities</t>
  </si>
  <si>
    <t>Noncurrent Liabilities</t>
  </si>
  <si>
    <t>Provision for tax, civil and labor risks</t>
  </si>
  <si>
    <t>Provision for environmental reconstitution</t>
  </si>
  <si>
    <t>Financial instruments</t>
  </si>
  <si>
    <t>Transactions with shareholders</t>
  </si>
  <si>
    <t>Accumulated gains (losses)</t>
  </si>
  <si>
    <t>Attributable to Company´s owners</t>
  </si>
  <si>
    <t>Noncontrolling interests</t>
  </si>
  <si>
    <t>Receivables from clients</t>
  </si>
  <si>
    <t>Deffered taxes</t>
  </si>
  <si>
    <t>Other credits</t>
  </si>
  <si>
    <t>Controlled companies</t>
  </si>
  <si>
    <t>Other intangible assets</t>
  </si>
  <si>
    <t>Dividends and interest on capital payable</t>
  </si>
  <si>
    <t>Deferred income tax and social contribution payable</t>
  </si>
  <si>
    <t>Shareholders' Equity</t>
  </si>
  <si>
    <t>Capital stock</t>
  </si>
  <si>
    <t>Adjustments to equity value</t>
  </si>
  <si>
    <t>Tax subsidies reserves</t>
  </si>
  <si>
    <t>4Q21</t>
  </si>
  <si>
    <t>Renegotiation of the hydrological risk</t>
  </si>
  <si>
    <t>Legal Reserve</t>
  </si>
  <si>
    <t>Provision for civil, labor and taxes litigations</t>
  </si>
  <si>
    <t>Profit Reserves</t>
  </si>
  <si>
    <t>1Q22</t>
  </si>
  <si>
    <t>2Q22</t>
  </si>
  <si>
    <t>3Q22</t>
  </si>
  <si>
    <t>4Q22</t>
  </si>
  <si>
    <t>Litigations paid</t>
  </si>
  <si>
    <r>
      <t>Net Debt</t>
    </r>
    <r>
      <rPr>
        <sz val="8"/>
        <color theme="1" tint="0.34998626667073579"/>
        <rFont val="Verdana"/>
        <family val="2"/>
      </rPr>
      <t xml:space="preserve"> (considering Intercompany Loan with ICP as cash)</t>
    </r>
  </si>
  <si>
    <r>
      <t xml:space="preserve">Leverage (Net Debt/ LTM Adjusted EBITDA) </t>
    </r>
    <r>
      <rPr>
        <sz val="8"/>
        <color theme="1" tint="0.34998626667073579"/>
        <rFont val="Verdana"/>
        <family val="2"/>
      </rPr>
      <t>(including IC loan)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</si>
</sst>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3">
    <numFmt numFmtId="43" formatCode="_-* #,##0.00_-;\-* #,##0.00_-;_-* &quot;-&quot;??_-;_-@_-"/>
    <numFmt numFmtId="164" formatCode="&quot;$&quot;#,##0_);[Red]\(&quot;$&quot;#,##0\)"/>
    <numFmt numFmtId="165" formatCode="&quot;$&quot;#,##0.00_);\(&quot;$&quot;#,##0.00\)"/>
    <numFmt numFmtId="166" formatCode="&quot;$&quot;#,##0.00_);[Red]\(&quot;$&quot;#,##0.00\)"/>
    <numFmt numFmtId="167" formatCode="_(&quot;$&quot;* #,##0_);_(&quot;$&quot;* \(#,##0\);_(&quot;$&quot;* &quot;-&quot;_);_(@_)"/>
    <numFmt numFmtId="168" formatCode="_(* #,##0_);_(* \(#,##0\);_(* &quot;-&quot;_);_(@_)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_(* #,##0_);_(* \(#,##0\);_(* &quot;-&quot;??_);_(@_)"/>
    <numFmt numFmtId="172" formatCode="0.0%"/>
    <numFmt numFmtId="173" formatCode="_-* #,##0_-;\-* #,##0_-;_-* &quot;-&quot;??_-;_-@_-"/>
    <numFmt numFmtId="174" formatCode="_(* #,##0.0_);_(* \(#,##0.0\);_(* &quot;-&quot;??_);_(@_)"/>
    <numFmt numFmtId="175" formatCode="[$USD]\ #,##0.0000"/>
    <numFmt numFmtId="176" formatCode="0.0"/>
    <numFmt numFmtId="177" formatCode="General_)"/>
    <numFmt numFmtId="178" formatCode="#,###\-"/>
    <numFmt numFmtId="179" formatCode="#,##0%"/>
    <numFmt numFmtId="180" formatCode="#,##0.0%"/>
    <numFmt numFmtId="181" formatCode="#,##0.0\ ;\(#,##0.0\)"/>
    <numFmt numFmtId="182" formatCode="&quot;R$ &quot;#,##0.00;\(&quot;R$ &quot;#,##0.00\)"/>
    <numFmt numFmtId="183" formatCode="\$\ #,##0"/>
    <numFmt numFmtId="184" formatCode="\$\ #,##0.0"/>
    <numFmt numFmtId="185" formatCode="\$\ #,##0.00"/>
    <numFmt numFmtId="186" formatCode="m/d"/>
    <numFmt numFmtId="187" formatCode="0.0_)\%;\(0.0\)\%;0.0_)\%;@_)_%"/>
    <numFmt numFmtId="188" formatCode="#,##0.0_)_%;\(#,##0.0\)_%;0.0_)_%;@_)_%"/>
    <numFmt numFmtId="189" formatCode="#,##0.0_);\(#,##0.0\)"/>
    <numFmt numFmtId="190" formatCode="#,##0.0_);\(#,##0.0\);#,##0.0_);@_)"/>
    <numFmt numFmtId="191" formatCode="&quot;R$ &quot;_(#,##0.00_);&quot;R$ &quot;\(#,##0.00\)"/>
    <numFmt numFmtId="192" formatCode="&quot;$&quot;_(#,##0.00_);&quot;$&quot;\(#,##0.00\);&quot;$&quot;_(0.00_);@_)"/>
    <numFmt numFmtId="193" formatCode="&quot;$&quot;_(#,##0.00_);&quot;$&quot;\(#,##0.00\)"/>
    <numFmt numFmtId="194" formatCode="0.00000000000"/>
    <numFmt numFmtId="195" formatCode="#,##0.00_);\(#,##0.00\);0.00_);@_)"/>
    <numFmt numFmtId="196" formatCode="\€_(#,##0.00_);\€\(#,##0.00\);\€_(0.00_);@_)"/>
    <numFmt numFmtId="197" formatCode="#,##0.0_)\x;\(#,##0.0\)\x"/>
    <numFmt numFmtId="198" formatCode="#,##0_)\x;\(#,##0\)\x;0_)\x;@_)_x"/>
    <numFmt numFmtId="199" formatCode="0.000000000000"/>
    <numFmt numFmtId="200" formatCode="_-&quot;¤&quot;* #,##0_-;\-&quot;¤&quot;* #,##0_-;_-&quot;¤&quot;* &quot;-&quot;_-;_-@_-"/>
    <numFmt numFmtId="201" formatCode="#,##0.0_)_x;\(#,##0.0\)_x"/>
    <numFmt numFmtId="202" formatCode="#,##0_)_x;\(#,##0\)_x;0_)_x;@_)_x"/>
    <numFmt numFmtId="203" formatCode="0.0000000000000"/>
    <numFmt numFmtId="204" formatCode="#,##0;[Red]\(#,##0\)"/>
    <numFmt numFmtId="205" formatCode="0.0_)\%;\(0.0\)\%"/>
    <numFmt numFmtId="206" formatCode="0.0%_);\(0.0%\)"/>
    <numFmt numFmtId="207" formatCode="#,##0.0_)_%;\(#,##0.0\)_%"/>
    <numFmt numFmtId="208" formatCode="0.000000000000000"/>
    <numFmt numFmtId="209" formatCode="0.000"/>
    <numFmt numFmtId="210" formatCode="_(&quot;R$ &quot;* #,##0.00_);_(&quot;R$ &quot;* \(#,##0.00\);_(&quot;R$ &quot;* &quot;-&quot;??_);_(@_)"/>
    <numFmt numFmtId="211" formatCode="_(&quot;R$ &quot;* #,##0_);_(&quot;R$ &quot;* \(#,##0\);_(&quot;R$ &quot;* &quot;-&quot;_);_(@_)"/>
    <numFmt numFmtId="212" formatCode="\£\ #,##0_);[Red]\(\£\ #,##0\)"/>
    <numFmt numFmtId="213" formatCode="&quot;£&quot;\ #,##0"/>
    <numFmt numFmtId="214" formatCode="&quot;£&quot;\ #,##0.0"/>
    <numFmt numFmtId="215" formatCode="&quot;£&quot;\ #,##0.00"/>
    <numFmt numFmtId="216" formatCode="\¥\ #,##0_);[Red]\(\¥\ #,##0\)"/>
    <numFmt numFmtId="217" formatCode="mmmmddyyyy"/>
    <numFmt numFmtId="218" formatCode="yyyymmmmdd"/>
    <numFmt numFmtId="219" formatCode="#,##0.000_);\(#,##0.000\)"/>
    <numFmt numFmtId="220" formatCode="&quot;$&quot;#,##0.000_);[Red]\(&quot;$&quot;#,##0.000\)"/>
    <numFmt numFmtId="221" formatCode="#,##0.0000_);[Red]\(#,##0.0000\)"/>
    <numFmt numFmtId="222" formatCode="&quot;R$ &quot;#,##0.000_);[Red]\(&quot;R$ &quot;#,##0.000\)"/>
    <numFmt numFmtId="223" formatCode="dd\-mmm\-yy"/>
    <numFmt numFmtId="224" formatCode="0.0000"/>
    <numFmt numFmtId="225" formatCode="0.0%;\(0.0%\)"/>
    <numFmt numFmtId="226" formatCode="#,##0.0_);[Red]\(#,##0.0\)"/>
    <numFmt numFmtId="227" formatCode="#\ ###\ ###\ ##0\ "/>
    <numFmt numFmtId="228" formatCode="\•\ \ @"/>
    <numFmt numFmtId="229" formatCode="#,##0\x"/>
    <numFmt numFmtId="230" formatCode="#,##0.0\x"/>
    <numFmt numFmtId="231" formatCode="#,##0.00\x"/>
    <numFmt numFmtId="232" formatCode="0.0000&quot;  &quot;"/>
    <numFmt numFmtId="233" formatCode="0.00000&quot;  &quot;"/>
    <numFmt numFmtId="234" formatCode="m/d/yy\ hh:mm"/>
    <numFmt numFmtId="235" formatCode="_(* #,##0_);_(* \(#,##0\);_(* &quot;-&quot;???_);_(@_)"/>
    <numFmt numFmtId="236" formatCode="#,##0\ &quot;FB&quot;;[Red]\-#,##0\ &quot;FB&quot;"/>
    <numFmt numFmtId="237" formatCode="_(* #,##0.0000_);_(* \(#,##0.0000\);_(* &quot;-&quot;????_);_(@_)"/>
    <numFmt numFmtId="238" formatCode="##&quot;.&quot;##&quot;.&quot;####"/>
    <numFmt numFmtId="239" formatCode="0.000_)"/>
    <numFmt numFmtId="240" formatCode="#,##0.0;\(#,##0.0\)"/>
    <numFmt numFmtId="241" formatCode="#,##0_%_);\(#,##0\)_%;#,##0_%_);@_%_)"/>
    <numFmt numFmtId="242" formatCode="#,##0_%_);\(#,##0\)_%;**;@_%_)"/>
    <numFmt numFmtId="243" formatCode="_._.* #,##0.0_)_%;_._.* \(#,##0.0\)_%;_._.* \ .0_)_%"/>
    <numFmt numFmtId="244" formatCode="_._.* #,##0.000_)_%;_._.* \(#,##0.000\)_%;_._.* \ .000_)_%"/>
    <numFmt numFmtId="245" formatCode="0.0\x"/>
    <numFmt numFmtId="246" formatCode="#,##0."/>
    <numFmt numFmtId="247" formatCode="0.00_);\(0.00\);0.00"/>
    <numFmt numFmtId="248" formatCode="&quot;$&quot;#,##0.0_);[Red]\(&quot;$&quot;#,##0.0\)"/>
    <numFmt numFmtId="249" formatCode="&quot;$&quot;#,##0_%_);\(&quot;$&quot;#,##0\)_%;&quot;$&quot;#,##0_%_);@_%_)"/>
    <numFmt numFmtId="250" formatCode="_._.&quot;R$ &quot;* #,##0.0_)_%;_._.&quot;R$ &quot;* \(#,##0.0\)_%;_._.&quot;R$ &quot;* \ .0_)_%"/>
    <numFmt numFmtId="251" formatCode="&quot;R$ &quot;* #,##0.00_);&quot;R$ &quot;* \(#,##0.00\)"/>
    <numFmt numFmtId="252" formatCode="_._.&quot;R$ &quot;* #,##0.000_)_%;_._.&quot;R$ &quot;* \(#,##0.000\)_%;_._.&quot;R$ &quot;* \ .000_)_%"/>
    <numFmt numFmtId="253" formatCode="_(&quot;$&quot;* #,##0.0_);_(&quot;$&quot;* \(#,##0.0\);_(&quot;$&quot;* &quot;-&quot;??_);_(@_)"/>
    <numFmt numFmtId="254" formatCode="\$#,##0\ ;\(\$#,##0\)"/>
    <numFmt numFmtId="255" formatCode="\ \ _•\–\ \ \ \ @"/>
    <numFmt numFmtId="256" formatCode="#,##0.0000000_);\(#,##0.0000000\)"/>
    <numFmt numFmtId="257" formatCode="0.0%_)"/>
    <numFmt numFmtId="258" formatCode="0.00000_);\(0.00000\)"/>
    <numFmt numFmtId="259" formatCode="m/d/yy_%_)"/>
    <numFmt numFmtId="260" formatCode="&quot;R$ &quot;#,##0.00_);[Red]\(&quot;R$ &quot;#,##0.00\)"/>
    <numFmt numFmtId="261" formatCode="&quot;R$ &quot;#,##0_);[Red]\(&quot;R$ &quot;#,##0\)"/>
    <numFmt numFmtId="262" formatCode="&quot;R$ &quot;#,##0.0;[Red]\(&quot;R$ &quot;#,##0.0\)"/>
    <numFmt numFmtId="263" formatCode="&quot;R$ &quot;#,##0_);\(&quot;R$ &quot;#,##0\)"/>
    <numFmt numFmtId="264" formatCode="0_%_);\(0\)_%;0_%_);@_%_)"/>
    <numFmt numFmtId="265" formatCode="&quot;R$ &quot;#,##0.00_);\(&quot;R$ &quot;#,##0.00\)"/>
    <numFmt numFmtId="266" formatCode="_([$€-2]* #,##0.00_);_([$€-2]* \(#,##0.00\);_([$€-2]* &quot;-&quot;??_)"/>
    <numFmt numFmtId="267" formatCode="0.0000%"/>
    <numFmt numFmtId="268" formatCode="0.000000000"/>
    <numFmt numFmtId="269" formatCode=";;;"/>
    <numFmt numFmtId="270" formatCode="0.0\%_);\(0.0\%\);0.0\%_);@_%_)"/>
    <numFmt numFmtId="271" formatCode="&quot;HK$&quot;#,##0"/>
    <numFmt numFmtId="272" formatCode="&quot;HK$&quot;#,##0.00"/>
    <numFmt numFmtId="273" formatCode="#,##0.000_);[Red]\(#,##0.000\)"/>
    <numFmt numFmtId="274" formatCode="&quot;$&quot;#,##0.0_);\(&quot;$&quot;#,##0.0\)"/>
    <numFmt numFmtId="275" formatCode="0.0_);\(0.0\)"/>
    <numFmt numFmtId="276" formatCode=";;"/>
    <numFmt numFmtId="277" formatCode="0.00_);\(0.00\)"/>
    <numFmt numFmtId="278" formatCode="#,##0.0&quot;x&quot;"/>
    <numFmt numFmtId="279" formatCode="mmm\-yy_)"/>
    <numFmt numFmtId="280" formatCode="0.0\ \x"/>
    <numFmt numFmtId="281" formatCode="\(0\)"/>
    <numFmt numFmtId="282" formatCode="#,##0.00000_);\(#,##0.00000\)"/>
    <numFmt numFmtId="283" formatCode="0.00_)"/>
    <numFmt numFmtId="284" formatCode="hh:mm:ss\ AM/PM_)"/>
    <numFmt numFmtId="285" formatCode="&quot;$&quot;#,##0.0_);\(&quot;$&quot;#,##0.00\)"/>
    <numFmt numFmtId="286" formatCode="#,##0.000000_);\(#,##0.000000\)"/>
    <numFmt numFmtId="287" formatCode="0.000000"/>
    <numFmt numFmtId="288" formatCode="_(0_)%;\(0\)%;\ \ _)\%"/>
    <numFmt numFmtId="289" formatCode="_._._(* 0_)%;_._.\(* 0\)%;_._._(* \ _)\%"/>
    <numFmt numFmtId="290" formatCode="&quot;R$ &quot;\ #,##0.00;[Red]&quot;R$ &quot;\ \-#,##0.00"/>
    <numFmt numFmtId="291" formatCode="0.000_);\(0.000\)"/>
    <numFmt numFmtId="292" formatCode="_(* #,##0.0_);_(* \(#,##0.0\);_(* &quot;-&quot;????_);_(@_)"/>
    <numFmt numFmtId="293" formatCode="_(0.0_)%;\(0.0\)%;\ \ .0_)%"/>
    <numFmt numFmtId="294" formatCode="_._._(* 0.0_)%;_._.\(* 0.0\)%;_._._(* \ .0_)%"/>
    <numFmt numFmtId="295" formatCode="_ * #,##0_ ;_ * \-#,##0_ ;_ * &quot;-&quot;_ ;_ @_ "/>
    <numFmt numFmtId="296" formatCode="_(0.00_)%;\(0.00\)%;\ \ .00_)%"/>
    <numFmt numFmtId="297" formatCode="_._._(* 0.00_)%;_._.\(* 0.00\)%;_._._(* \ .00_)%"/>
    <numFmt numFmtId="298" formatCode="_ * #,##0.00_ ;_ * \-#,##0.00_ ;_ * &quot;-&quot;??_ ;_ @_ "/>
    <numFmt numFmtId="299" formatCode="_(0.000_)%;\(0.000\)%;\ \ .000_)%"/>
    <numFmt numFmtId="300" formatCode="_._._(* 0.000_)%;_._.\(* 0.000\)%;_._._(* \ .000_)%"/>
    <numFmt numFmtId="301" formatCode="&quot;R&quot;\ #,##0;[Red]&quot;R&quot;\ \-#,##0"/>
    <numFmt numFmtId="302" formatCode="0.0%;[Red]\-0.0%"/>
    <numFmt numFmtId="303" formatCode="0.00%;[Red]\-0.00%"/>
    <numFmt numFmtId="304" formatCode="0%;\(0%\)"/>
    <numFmt numFmtId="305" formatCode="0.00\%;\-0.00\%;0.00\%"/>
    <numFmt numFmtId="306" formatCode="mmmm\ d\,\ yyyy"/>
    <numFmt numFmtId="307" formatCode="#,##0_);\(#,##0\);0_)"/>
    <numFmt numFmtId="308" formatCode="#,##0_);\(#,##0\);0_);@"/>
    <numFmt numFmtId="309" formatCode="0.00\x;\-0.00\x;0.00\x"/>
    <numFmt numFmtId="310" formatCode="##0.00000"/>
    <numFmt numFmtId="311" formatCode="#,##0_)_%;\(#,##0\)_%"/>
    <numFmt numFmtId="312" formatCode="mmm\ dd\,\ yyyy"/>
    <numFmt numFmtId="313" formatCode="_(* &quot;-&quot;\ _);\(_@_)"/>
    <numFmt numFmtId="314" formatCode="_(* #,##0.000_);_(* \(#,##0.000\);_(* &quot;-&quot;????_);_(@_)"/>
    <numFmt numFmtId="315" formatCode="_(* #,##0.00_);_(* \(#,##0.00\);_(* &quot;-&quot;????_);_(@_)"/>
    <numFmt numFmtId="316" formatCode="#0.0\x"/>
    <numFmt numFmtId="317" formatCode="&quot;US$&quot;#,##0"/>
    <numFmt numFmtId="318" formatCode="&quot;US$&quot;#,##0.00"/>
    <numFmt numFmtId="319" formatCode="#,##0.0000"/>
    <numFmt numFmtId="320" formatCode="_-&quot;£&quot;* #,##0_-;\-&quot;£&quot;* #,##0_-;_-&quot;£&quot;* &quot;-&quot;_-;_-@_-"/>
    <numFmt numFmtId="321" formatCode="_-&quot;£&quot;* #,##0.00_-;\-&quot;£&quot;* #,##0.00_-;_-&quot;£&quot;* &quot;-&quot;??_-;_-@_-"/>
    <numFmt numFmtId="322" formatCode="_-* #,##0\ &quot;zł&quot;_-;\-* #,##0\ &quot;zł&quot;_-;_-* &quot;-&quot;\ &quot;zł&quot;_-;_-@_-"/>
    <numFmt numFmtId="323" formatCode="_-* #,##0.00\ &quot;zł&quot;_-;\-* #,##0.00\ &quot;zł&quot;_-;_-* &quot;-&quot;??\ &quot;zł&quot;_-;_-@_-"/>
    <numFmt numFmtId="324" formatCode="0.0%\ ;\(0.0\)%"/>
    <numFmt numFmtId="325" formatCode="&quot;R$ &quot;#,##0.0"/>
    <numFmt numFmtId="326" formatCode="&quot;$&quot;#,##0.0"/>
    <numFmt numFmtId="327" formatCode="&quot;R$ &quot;#,##0\ \ \ "/>
    <numFmt numFmtId="328" formatCode="&quot;$&quot;#,##0\ \ \ "/>
    <numFmt numFmtId="329" formatCode="&quot;R$ &quot;#,##0\ \ \ \ "/>
    <numFmt numFmtId="330" formatCode="&quot;$&quot;#,##0\ \ \ \ "/>
    <numFmt numFmtId="331" formatCode="_(* #,##0_);_(* \(#,##0\);_(* \ _)"/>
    <numFmt numFmtId="332" formatCode="_(* #,##0.0_);_(* \(#,##0.0\);_(* \ .0_)"/>
    <numFmt numFmtId="333" formatCode="_(* #,##0.00_);_(* \(#,##0.00\);_(* \ .00_)"/>
    <numFmt numFmtId="334" formatCode="_(* #,##0.000_);_(* \(#,##0.000\);_(* \ .000_)"/>
    <numFmt numFmtId="335" formatCode="&quot;R&quot;\ #,##0.00;[Red]&quot;R&quot;\ \-#,##0.00"/>
    <numFmt numFmtId="336" formatCode="_(&quot;R$ &quot;* #,##0_);_(&quot;R$ &quot;* \(#,##0\);_(&quot;R$ &quot;* \ _)"/>
    <numFmt numFmtId="337" formatCode="_(&quot;R$ &quot;* #,##0.0_);_(&quot;R$ &quot;* \(#,##0.0\);_(&quot;R$ &quot;* \ .0_)"/>
    <numFmt numFmtId="338" formatCode="_(&quot;R$ &quot;* #,##0.00_);_(&quot;R$ &quot;* \(#,##0.00\);_(&quot;R$ &quot;* \ .00_)"/>
    <numFmt numFmtId="339" formatCode="_(&quot;R$ &quot;* #,##0.000_);_(&quot;R$ &quot;* \(#,##0.000\);_(&quot;R$ &quot;* \ .000_)"/>
    <numFmt numFmtId="340" formatCode="0.0_)%;\(0.0\)%"/>
    <numFmt numFmtId="341" formatCode="0&quot;E&quot;"/>
    <numFmt numFmtId="342" formatCode="_ &quot;\&quot;* #,##0_ ;_ &quot;\&quot;* \-#,##0_ ;_ &quot;\&quot;* &quot;-&quot;_ ;_ @_ "/>
    <numFmt numFmtId="343" formatCode="_ &quot;\&quot;* #,##0.00_ ;_ &quot;\&quot;* \-#,##0.00_ ;_ &quot;\&quot;* &quot;-&quot;??_ ;_ @_ "/>
    <numFmt numFmtId="344" formatCode="_-&quot;$&quot;* #,##0_-;\-&quot;$&quot;* #,##0_-;_-&quot;$&quot;* &quot;-&quot;_-;_-@_-"/>
    <numFmt numFmtId="345" formatCode="_-&quot;$&quot;* #,##0.00_-;\-&quot;$&quot;* #,##0.00_-;_-&quot;$&quot;* &quot;-&quot;??_-;_-@_-"/>
    <numFmt numFmtId="346" formatCode="_-* #,##0.000_-;\-* #,##0.000_-;_-* &quot;-&quot;??_-;_-@_-"/>
    <numFmt numFmtId="347" formatCode="0.00000%"/>
    <numFmt numFmtId="348" formatCode="dd/mm"/>
    <numFmt numFmtId="349" formatCode="0.0_)"/>
    <numFmt numFmtId="350" formatCode="###0"/>
    <numFmt numFmtId="351" formatCode="_(* #,##0.0000000000000_);_(* \(#,##0.0000000000000\);_(* &quot;-&quot;??_);_(@_)"/>
    <numFmt numFmtId="352" formatCode="0%\);[Red]\(0%"/>
    <numFmt numFmtId="353" formatCode="mmmm"/>
    <numFmt numFmtId="354" formatCode="_(* #,##0.000000000_);_(* \(#,##0.000000000\);_(* &quot;-&quot;??_);_(@_)"/>
    <numFmt numFmtId="355" formatCode="_(&quot;R$&quot;* #,##0.00_);_(&quot;R$&quot;* \(#,##0.00\);_(&quot;R$&quot;* &quot;-&quot;??_);_(@_)"/>
  </numFmts>
  <fonts count="277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Frutiger 45 Light"/>
      <family val="2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0"/>
      <name val="Verdana"/>
      <family val="2"/>
    </font>
    <font>
      <b/>
      <sz val="8"/>
      <color theme="1"/>
      <name val="Verdana"/>
      <family val="2"/>
    </font>
    <font>
      <i/>
      <sz val="8"/>
      <color theme="1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8"/>
      <name val="Times New Roman"/>
      <family val="1"/>
    </font>
    <font>
      <sz val="12"/>
      <name val="Times New Roman"/>
      <family val="1"/>
    </font>
    <font>
      <sz val="10"/>
      <name val="Palatino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1"/>
      <name val="MS ??"/>
      <family val="1"/>
      <charset val="128"/>
    </font>
    <font>
      <u/>
      <sz val="8.4"/>
      <color indexed="12"/>
      <name val="Arial"/>
      <family val="2"/>
    </font>
    <font>
      <sz val="14"/>
      <name val="Terminal"/>
      <family val="3"/>
      <charset val="128"/>
    </font>
    <font>
      <sz val="10"/>
      <name val="Helv"/>
      <family val="2"/>
    </font>
    <font>
      <b/>
      <sz val="22"/>
      <color indexed="18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  <charset val="177"/>
    </font>
    <font>
      <sz val="10"/>
      <color indexed="10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MS Sans Serif"/>
      <family val="2"/>
    </font>
    <font>
      <sz val="5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2"/>
      <name val="Arial MT"/>
    </font>
    <font>
      <sz val="8"/>
      <name val="MS Sans Serif"/>
      <family val="2"/>
    </font>
    <font>
      <b/>
      <sz val="18"/>
      <name val="Helv"/>
    </font>
    <font>
      <sz val="14"/>
      <name val="Helv"/>
    </font>
    <font>
      <b/>
      <sz val="14"/>
      <name val="Helv"/>
    </font>
    <font>
      <b/>
      <sz val="16"/>
      <color indexed="9"/>
      <name val="Arial"/>
      <family val="2"/>
    </font>
    <font>
      <sz val="10"/>
      <color indexed="8"/>
      <name val="Arial"/>
      <family val="2"/>
    </font>
    <font>
      <b/>
      <u/>
      <sz val="12"/>
      <color indexed="10"/>
      <name val="Arial"/>
      <family val="2"/>
    </font>
    <font>
      <b/>
      <sz val="10"/>
      <color indexed="32"/>
      <name val="Arial"/>
      <family val="2"/>
    </font>
    <font>
      <sz val="12"/>
      <name val="Tms Rmn"/>
    </font>
    <font>
      <b/>
      <sz val="12"/>
      <name val="Times New Roman"/>
      <family val="1"/>
    </font>
    <font>
      <sz val="8"/>
      <color indexed="8"/>
      <name val="Times New Roman"/>
      <family val="1"/>
    </font>
    <font>
      <b/>
      <sz val="10"/>
      <color indexed="43"/>
      <name val="Arial CYR"/>
      <family val="2"/>
      <charset val="204"/>
    </font>
    <font>
      <sz val="11"/>
      <name val="Times New Roman"/>
      <family val="1"/>
    </font>
    <font>
      <sz val="8"/>
      <name val="Tahoma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8"/>
      <color indexed="12"/>
      <name val="Helv"/>
    </font>
    <font>
      <sz val="12"/>
      <color indexed="12"/>
      <name val="Times New Roman"/>
      <family val="1"/>
    </font>
    <font>
      <b/>
      <sz val="14"/>
      <color indexed="26"/>
      <name val="Times New Roman"/>
      <family val="1"/>
    </font>
    <font>
      <b/>
      <sz val="11"/>
      <color indexed="8"/>
      <name val="Times New Roman"/>
      <family val="1"/>
    </font>
    <font>
      <sz val="10"/>
      <color indexed="17"/>
      <name val="Haettenschweiler"/>
      <family val="2"/>
    </font>
    <font>
      <sz val="10"/>
      <color indexed="8"/>
      <name val="Book Antiqua"/>
      <family val="1"/>
    </font>
    <font>
      <sz val="8"/>
      <name val="Geneva"/>
    </font>
    <font>
      <sz val="8"/>
      <color indexed="12"/>
      <name val="Tms Rmn"/>
      <family val="1"/>
    </font>
    <font>
      <sz val="10"/>
      <color indexed="12"/>
      <name val="MS Sans Serif"/>
      <family val="2"/>
    </font>
    <font>
      <b/>
      <sz val="11"/>
      <name val="Arial"/>
      <family val="2"/>
    </font>
    <font>
      <b/>
      <sz val="12"/>
      <name val="Palatino"/>
      <family val="1"/>
    </font>
    <font>
      <b/>
      <sz val="10"/>
      <name val="Palatino"/>
      <family val="1"/>
    </font>
    <font>
      <b/>
      <u/>
      <sz val="10"/>
      <name val="Palatino"/>
      <family val="1"/>
    </font>
    <font>
      <b/>
      <sz val="10"/>
      <name val="Times New Roman"/>
      <family val="1"/>
    </font>
    <font>
      <sz val="7"/>
      <name val="SwitzerlandLight"/>
    </font>
    <font>
      <b/>
      <sz val="12"/>
      <name val="Helv"/>
    </font>
    <font>
      <sz val="32"/>
      <name val="Times New Roman"/>
      <family val="1"/>
    </font>
    <font>
      <b/>
      <sz val="10"/>
      <color indexed="8"/>
      <name val="Times New Roman"/>
      <family val="1"/>
    </font>
    <font>
      <sz val="12"/>
      <color indexed="8"/>
      <name val="Times New Roman"/>
      <family val="1"/>
    </font>
    <font>
      <sz val="8"/>
      <name val="Times"/>
      <family val="1"/>
    </font>
    <font>
      <sz val="10"/>
      <color indexed="10"/>
      <name val="Haettenschweiler"/>
      <family val="2"/>
    </font>
    <font>
      <sz val="9"/>
      <color indexed="10"/>
      <name val="Geneva"/>
    </font>
    <font>
      <sz val="10"/>
      <color indexed="18"/>
      <name val="Times New Roman"/>
      <family val="1"/>
    </font>
    <font>
      <sz val="9"/>
      <name val="Haettenschweiler"/>
      <family val="2"/>
    </font>
    <font>
      <sz val="11"/>
      <name val="Tms Rmn"/>
      <family val="1"/>
    </font>
    <font>
      <sz val="11"/>
      <name val="Book Antiqua"/>
      <family val="1"/>
    </font>
    <font>
      <sz val="8"/>
      <name val="Palatino"/>
      <family val="1"/>
    </font>
    <font>
      <sz val="11"/>
      <name val="New Times Roman"/>
    </font>
    <font>
      <u val="singleAccounting"/>
      <sz val="11"/>
      <name val="Times New Roman"/>
      <family val="1"/>
    </font>
    <font>
      <sz val="10"/>
      <name val="Univers (E1)"/>
    </font>
    <font>
      <sz val="10"/>
      <name val="BERNHARD"/>
    </font>
    <font>
      <sz val="10"/>
      <name val="Helv"/>
    </font>
    <font>
      <b/>
      <i/>
      <sz val="10"/>
      <name val="Arial"/>
      <family val="2"/>
    </font>
    <font>
      <sz val="24"/>
      <name val="MS Sans Serif"/>
      <family val="2"/>
    </font>
    <font>
      <b/>
      <sz val="14"/>
      <name val="Arial"/>
      <family val="2"/>
    </font>
    <font>
      <b/>
      <sz val="11"/>
      <name val="Times New Roman"/>
      <family val="1"/>
    </font>
    <font>
      <sz val="12"/>
      <color indexed="8"/>
      <name val="Book Antiqua"/>
      <family val="1"/>
    </font>
    <font>
      <sz val="7.5"/>
      <color indexed="9"/>
      <name val="Arial"/>
      <family val="2"/>
    </font>
    <font>
      <sz val="1"/>
      <color indexed="8"/>
      <name val="Courier"/>
      <family val="3"/>
    </font>
    <font>
      <b/>
      <sz val="16"/>
      <name val="Arial"/>
      <family val="2"/>
    </font>
    <font>
      <sz val="8"/>
      <name val="Tms Rmn"/>
    </font>
    <font>
      <b/>
      <sz val="1"/>
      <color indexed="8"/>
      <name val="Courier"/>
      <family val="3"/>
    </font>
    <font>
      <sz val="8"/>
      <color indexed="16"/>
      <name val="Times New Roman"/>
      <family val="1"/>
    </font>
    <font>
      <b/>
      <sz val="10"/>
      <color indexed="42"/>
      <name val="Arial"/>
      <family val="2"/>
    </font>
    <font>
      <sz val="7"/>
      <name val="Palatino"/>
      <family val="1"/>
    </font>
    <font>
      <sz val="7.5"/>
      <color indexed="12"/>
      <name val="Arial"/>
      <family val="2"/>
    </font>
    <font>
      <sz val="12"/>
      <color indexed="9"/>
      <name val="Times New Roman"/>
      <family val="1"/>
    </font>
    <font>
      <b/>
      <sz val="12"/>
      <color indexed="8"/>
      <name val="Times New Roman"/>
      <family val="1"/>
    </font>
    <font>
      <sz val="24"/>
      <name val="Times New Roman"/>
      <family val="1"/>
    </font>
    <font>
      <b/>
      <sz val="28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sz val="18"/>
      <name val="Times New Roman"/>
      <family val="1"/>
    </font>
    <font>
      <i/>
      <sz val="14"/>
      <name val="Palatino"/>
      <family val="1"/>
    </font>
    <font>
      <b/>
      <sz val="10"/>
      <name val="Helv"/>
    </font>
    <font>
      <u/>
      <sz val="9"/>
      <color indexed="12"/>
      <name val="Arial"/>
      <family val="2"/>
    </font>
    <font>
      <u/>
      <sz val="10"/>
      <color indexed="12"/>
      <name val="Arial"/>
      <family val="2"/>
    </font>
    <font>
      <sz val="9"/>
      <color rgb="FF0A4262"/>
      <name val="Calibri"/>
      <family val="2"/>
      <scheme val="minor"/>
    </font>
    <font>
      <u/>
      <sz val="10"/>
      <color indexed="14"/>
      <name val="MS Sans Serif"/>
      <family val="2"/>
    </font>
    <font>
      <u/>
      <sz val="8.5"/>
      <color indexed="12"/>
      <name val="Arial"/>
      <family val="2"/>
    </font>
    <font>
      <u/>
      <sz val="10"/>
      <color indexed="12"/>
      <name val="MS Sans Serif"/>
      <family val="2"/>
    </font>
    <font>
      <sz val="12"/>
      <name val="Arial"/>
      <family val="2"/>
    </font>
    <font>
      <sz val="10"/>
      <color indexed="8"/>
      <name val="Times New Roman"/>
      <family val="1"/>
    </font>
    <font>
      <shadow/>
      <sz val="8"/>
      <color indexed="12"/>
      <name val="Times New Roman"/>
      <family val="1"/>
    </font>
    <font>
      <sz val="8"/>
      <color indexed="12"/>
      <name val="Palatino"/>
      <family val="1"/>
    </font>
    <font>
      <sz val="10"/>
      <color indexed="10"/>
      <name val="Times New Roman"/>
      <family val="1"/>
    </font>
    <font>
      <u/>
      <sz val="7.5"/>
      <color indexed="12"/>
      <name val="Arial"/>
      <family val="2"/>
    </font>
    <font>
      <sz val="10"/>
      <name val="Haettenschweiler"/>
      <family val="2"/>
    </font>
    <font>
      <b/>
      <sz val="14"/>
      <color indexed="37"/>
      <name val="Haettenschweiler"/>
      <family val="2"/>
    </font>
    <font>
      <sz val="28"/>
      <name val="Times New Roman"/>
      <family val="1"/>
    </font>
    <font>
      <sz val="22"/>
      <name val="Times New Roman"/>
      <family val="1"/>
    </font>
    <font>
      <sz val="8"/>
      <color indexed="8"/>
      <name val="Helv"/>
    </font>
    <font>
      <sz val="9"/>
      <color indexed="57"/>
      <name val="Haettenschweiler"/>
      <family val="2"/>
    </font>
    <font>
      <b/>
      <sz val="10"/>
      <name val="Haettenschweiler"/>
      <family val="2"/>
    </font>
    <font>
      <sz val="26"/>
      <name val="Times New Roman"/>
      <family val="1"/>
    </font>
    <font>
      <sz val="9"/>
      <name val="Times New Roman"/>
      <family val="1"/>
    </font>
    <font>
      <sz val="8"/>
      <color indexed="10"/>
      <name val="Arial Narrow"/>
      <family val="2"/>
    </font>
    <font>
      <sz val="7"/>
      <name val="Small Fonts"/>
      <family val="2"/>
    </font>
    <font>
      <b/>
      <i/>
      <sz val="16"/>
      <name val="Helv"/>
    </font>
    <font>
      <sz val="11"/>
      <name val="Arial"/>
      <family val="2"/>
    </font>
    <font>
      <sz val="8"/>
      <color theme="1"/>
      <name val="Arial"/>
      <family val="2"/>
    </font>
    <font>
      <sz val="9"/>
      <name val="Geneva"/>
    </font>
    <font>
      <sz val="10"/>
      <name val="Tms Rmn"/>
    </font>
    <font>
      <b/>
      <sz val="10"/>
      <name val="HELVETICA"/>
      <family val="2"/>
    </font>
    <font>
      <u/>
      <sz val="10"/>
      <name val="Helvetica"/>
      <family val="2"/>
    </font>
    <font>
      <sz val="10"/>
      <name val="Helvetica"/>
      <family val="2"/>
    </font>
    <font>
      <sz val="10"/>
      <color indexed="12"/>
      <name val="Times New Roman"/>
      <family val="1"/>
    </font>
    <font>
      <sz val="10"/>
      <name val="Arial CE"/>
    </font>
    <font>
      <b/>
      <sz val="13.5"/>
      <name val="MS Sans Serif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</font>
    <font>
      <i/>
      <sz val="9"/>
      <name val="Book Antiqua"/>
      <family val="1"/>
    </font>
    <font>
      <sz val="10"/>
      <name val="Palatino"/>
      <family val="1"/>
    </font>
    <font>
      <sz val="10"/>
      <name val="Geneva"/>
    </font>
    <font>
      <sz val="12"/>
      <name val="Book Antiqua"/>
      <family val="1"/>
    </font>
    <font>
      <b/>
      <sz val="10"/>
      <name val="MS Sans Serif"/>
      <family val="2"/>
    </font>
    <font>
      <sz val="16"/>
      <name val="Times New Roman"/>
      <family val="1"/>
    </font>
    <font>
      <sz val="10"/>
      <color indexed="24"/>
      <name val="Arial"/>
      <family val="2"/>
    </font>
    <font>
      <sz val="10"/>
      <color indexed="12"/>
      <name val="Haettenschweiler"/>
      <family val="2"/>
    </font>
    <font>
      <sz val="12"/>
      <color indexed="14"/>
      <name val="Times New Roman"/>
      <family val="1"/>
    </font>
    <font>
      <sz val="10"/>
      <color indexed="10"/>
      <name val="MS Sans Serif"/>
      <family val="2"/>
    </font>
    <font>
      <sz val="10"/>
      <name val="GillSans Light"/>
    </font>
    <font>
      <sz val="8"/>
      <name val="Helv"/>
    </font>
    <font>
      <b/>
      <sz val="10"/>
      <color indexed="32"/>
      <name val="Haettenschweiler"/>
      <family val="2"/>
    </font>
    <font>
      <sz val="9.5"/>
      <color indexed="23"/>
      <name val="Helvetica-Black"/>
    </font>
    <font>
      <b/>
      <sz val="12"/>
      <name val="MS Sans Serif"/>
      <family val="2"/>
    </font>
    <font>
      <i/>
      <sz val="8"/>
      <name val="Times New Roman"/>
      <family val="1"/>
    </font>
    <font>
      <b/>
      <sz val="10"/>
      <color indexed="16"/>
      <name val="Courier"/>
      <family val="3"/>
    </font>
    <font>
      <sz val="10"/>
      <color indexed="16"/>
      <name val="Times New Roman"/>
      <family val="1"/>
    </font>
    <font>
      <b/>
      <sz val="12"/>
      <name val="Univers (WN)"/>
    </font>
    <font>
      <b/>
      <sz val="10"/>
      <name val="Univers (WN)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8"/>
      <name val="Helvetica-Narrow"/>
      <family val="2"/>
    </font>
    <font>
      <b/>
      <sz val="7"/>
      <name val="Helvetica-Narrow"/>
      <family val="2"/>
    </font>
    <font>
      <b/>
      <sz val="8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0"/>
      <color indexed="10"/>
      <name val="Arial"/>
      <family val="2"/>
    </font>
    <font>
      <sz val="8"/>
      <name val="CG Times (E1)"/>
    </font>
    <font>
      <b/>
      <u/>
      <sz val="11"/>
      <name val="Arial"/>
      <family val="2"/>
    </font>
    <font>
      <b/>
      <sz val="12"/>
      <color indexed="16"/>
      <name val="Arial"/>
      <family val="2"/>
    </font>
    <font>
      <b/>
      <sz val="11"/>
      <name val="GillSans"/>
    </font>
    <font>
      <b/>
      <sz val="14"/>
      <name val="Times New Roman"/>
      <family val="1"/>
    </font>
    <font>
      <b/>
      <u/>
      <sz val="11"/>
      <color indexed="32"/>
      <name val="Times New Roman"/>
      <family val="1"/>
    </font>
    <font>
      <sz val="11"/>
      <color indexed="32"/>
      <name val="Times New Roman"/>
      <family val="1"/>
    </font>
    <font>
      <b/>
      <sz val="16"/>
      <color indexed="8"/>
      <name val="Haettenschweiler"/>
      <family val="2"/>
    </font>
    <font>
      <b/>
      <u/>
      <sz val="10"/>
      <name val="Haettenschweiler"/>
      <family val="2"/>
    </font>
    <font>
      <b/>
      <u/>
      <sz val="10"/>
      <color indexed="16"/>
      <name val="Haettenschweiler"/>
      <family val="2"/>
    </font>
    <font>
      <b/>
      <u/>
      <sz val="10"/>
      <color indexed="18"/>
      <name val="Haettenschweiler"/>
      <family val="2"/>
    </font>
    <font>
      <sz val="10"/>
      <color indexed="32"/>
      <name val="Times New Roman"/>
      <family val="1"/>
    </font>
    <font>
      <sz val="8"/>
      <color indexed="32"/>
      <name val="Times New Roman"/>
      <family val="1"/>
    </font>
    <font>
      <b/>
      <sz val="7"/>
      <color indexed="12"/>
      <name val="Arial"/>
      <family val="2"/>
    </font>
    <font>
      <u/>
      <sz val="8"/>
      <color indexed="8"/>
      <name val="Arial"/>
      <family val="2"/>
    </font>
    <font>
      <i/>
      <sz val="12"/>
      <name val="Times New Roman"/>
      <family val="1"/>
    </font>
    <font>
      <sz val="8"/>
      <color indexed="18"/>
      <name val="Times New Roman"/>
      <family val="1"/>
    </font>
    <font>
      <sz val="8"/>
      <color indexed="16"/>
      <name val="Helv"/>
    </font>
    <font>
      <sz val="10"/>
      <color indexed="8"/>
      <name val="Haettenschweiler"/>
      <family val="2"/>
    </font>
    <font>
      <sz val="8"/>
      <color indexed="9"/>
      <name val="Arial"/>
      <family val="2"/>
    </font>
    <font>
      <b/>
      <sz val="10"/>
      <color indexed="12"/>
      <name val="Book Antiqua"/>
      <family val="1"/>
    </font>
    <font>
      <b/>
      <sz val="8"/>
      <name val="Palatino"/>
      <family val="1"/>
    </font>
    <font>
      <sz val="12"/>
      <name val="바탕체"/>
      <family val="1"/>
      <charset val="129"/>
    </font>
    <font>
      <sz val="12"/>
      <name val="新細明體"/>
      <family val="1"/>
      <charset val="136"/>
    </font>
    <font>
      <sz val="8"/>
      <color theme="1"/>
      <name val="Calibri"/>
      <family val="2"/>
    </font>
    <font>
      <sz val="8"/>
      <color indexed="8"/>
      <name val="Arial"/>
      <family val="2"/>
    </font>
    <font>
      <sz val="8"/>
      <color indexed="63"/>
      <name val="Arial"/>
      <family val="2"/>
    </font>
    <font>
      <sz val="8"/>
      <color indexed="39"/>
      <name val="Arial"/>
      <family val="2"/>
    </font>
    <font>
      <sz val="8"/>
      <color indexed="62"/>
      <name val="Arial"/>
      <family val="2"/>
    </font>
    <font>
      <sz val="8"/>
      <color indexed="10"/>
      <name val="Arial"/>
      <family val="2"/>
    </font>
    <font>
      <b/>
      <sz val="9"/>
      <color indexed="0"/>
      <name val="Arial"/>
      <family val="2"/>
    </font>
    <font>
      <sz val="9"/>
      <color indexed="0"/>
      <name val="Arial"/>
      <family val="2"/>
    </font>
    <font>
      <sz val="9"/>
      <color theme="1"/>
      <name val="Calibri"/>
      <family val="2"/>
    </font>
    <font>
      <sz val="10"/>
      <name val="MS Serif"/>
      <family val="1"/>
    </font>
    <font>
      <b/>
      <sz val="9"/>
      <color indexed="2"/>
      <name val="Arial"/>
      <family val="2"/>
    </font>
    <font>
      <sz val="9"/>
      <color indexed="2"/>
      <name val="Arial"/>
      <family val="2"/>
    </font>
    <font>
      <sz val="10"/>
      <color indexed="16"/>
      <name val="MS Serif"/>
      <family val="1"/>
    </font>
    <font>
      <sz val="12"/>
      <name val="Weiss"/>
    </font>
    <font>
      <sz val="10"/>
      <name val="Arial MT"/>
    </font>
    <font>
      <sz val="9"/>
      <name val="Geneva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sz val="11"/>
      <name val="ＭＳ 明朝"/>
      <family val="1"/>
      <charset val="128"/>
    </font>
    <font>
      <b/>
      <sz val="18"/>
      <name val="Arial"/>
      <family val="2"/>
    </font>
    <font>
      <sz val="8"/>
      <color theme="0" tint="-0.34998626667073579"/>
      <name val="Verdana"/>
      <family val="2"/>
    </font>
    <font>
      <sz val="8"/>
      <name val="Verdana"/>
      <family val="2"/>
    </font>
    <font>
      <sz val="8"/>
      <name val="Calibri"/>
      <family val="2"/>
    </font>
    <font>
      <sz val="9.5"/>
      <color theme="1"/>
      <name val="Calibri"/>
      <family val="2"/>
    </font>
    <font>
      <b/>
      <sz val="9.5"/>
      <color theme="1"/>
      <name val="Calibri"/>
      <family val="2"/>
    </font>
    <font>
      <b/>
      <i/>
      <sz val="8"/>
      <color theme="1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color theme="1" tint="0.34998626667073579"/>
      <name val="Verdana"/>
      <family val="2"/>
    </font>
    <font>
      <sz val="10"/>
      <color theme="1" tint="0.34998626667073579"/>
      <name val="Calibri"/>
      <family val="2"/>
    </font>
    <font>
      <b/>
      <sz val="8"/>
      <color theme="1" tint="0.34998626667073579"/>
      <name val="Verdana"/>
      <family val="2"/>
    </font>
    <font>
      <sz val="8"/>
      <color theme="1" tint="0.34998626667073579"/>
      <name val="Calibri"/>
      <family val="2"/>
    </font>
    <font>
      <i/>
      <sz val="8"/>
      <color theme="1" tint="0.34998626667073579"/>
      <name val="Verdana"/>
      <family val="2"/>
    </font>
    <font>
      <b/>
      <sz val="10"/>
      <color theme="1" tint="0.34998626667073579"/>
      <name val="Calibri"/>
      <family val="2"/>
    </font>
    <font>
      <b/>
      <i/>
      <sz val="8"/>
      <color theme="1" tint="0.34998626667073579"/>
      <name val="Verdana"/>
      <family val="2"/>
    </font>
    <font>
      <sz val="10"/>
      <color theme="0" tint="-0.34998626667073579"/>
      <name val="Calibri"/>
      <family val="2"/>
    </font>
    <font>
      <i/>
      <sz val="10"/>
      <color theme="1" tint="0.34998626667073579"/>
      <name val="Calibri"/>
      <family val="2"/>
    </font>
  </fonts>
  <fills count="10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19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9"/>
        <bgColor indexed="19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mediumGray">
        <fgColor indexed="22"/>
      </patternFill>
    </fill>
    <fill>
      <patternFill patternType="lightGray">
        <fgColor indexed="12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19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19"/>
      </patternFill>
    </fill>
    <fill>
      <patternFill patternType="darkTrellis">
        <fgColor indexed="13"/>
        <bgColor indexed="9"/>
      </patternFill>
    </fill>
    <fill>
      <patternFill patternType="lightGray">
        <fgColor indexed="38"/>
        <bgColor indexed="23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gray0625"/>
    </fill>
    <fill>
      <patternFill patternType="solid">
        <fgColor indexed="9"/>
        <bgColor indexed="19"/>
      </patternFill>
    </fill>
    <fill>
      <patternFill patternType="solid">
        <fgColor indexed="9"/>
        <b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1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gray125">
        <fgColor indexed="8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26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/>
      <bottom style="medium">
        <color indexed="1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/>
      <top/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9726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5" fillId="4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20" fillId="0" borderId="3" applyNumberFormat="0" applyFill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9" fillId="7" borderId="1" applyNumberFormat="0" applyAlignment="0" applyProtection="0"/>
    <xf numFmtId="0" fontId="11" fillId="3" borderId="0" applyNumberFormat="0" applyBorder="0" applyAlignment="0" applyProtection="0"/>
    <xf numFmtId="0" fontId="21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27" fillId="0" borderId="0"/>
    <xf numFmtId="0" fontId="9" fillId="23" borderId="4" applyNumberFormat="0" applyFont="0" applyAlignment="0" applyProtection="0"/>
    <xf numFmtId="0" fontId="26" fillId="0" borderId="5" applyNumberFormat="0">
      <alignment vertical="center"/>
    </xf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2" fillId="16" borderId="6" applyNumberFormat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170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4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4" fillId="0" borderId="0"/>
    <xf numFmtId="0" fontId="49" fillId="0" borderId="0"/>
    <xf numFmtId="43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175" fontId="7" fillId="0" borderId="0"/>
    <xf numFmtId="177" fontId="53" fillId="0" borderId="0"/>
    <xf numFmtId="178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37" fontId="7" fillId="0" borderId="0" applyFont="0" applyFill="0" applyBorder="0" applyAlignment="0" applyProtection="0"/>
    <xf numFmtId="181" fontId="54" fillId="0" borderId="0"/>
    <xf numFmtId="0" fontId="55" fillId="0" borderId="0">
      <alignment horizontal="right"/>
    </xf>
    <xf numFmtId="182" fontId="55" fillId="0" borderId="0">
      <alignment horizontal="right"/>
    </xf>
    <xf numFmtId="183" fontId="56" fillId="0" borderId="0"/>
    <xf numFmtId="184" fontId="56" fillId="0" borderId="0"/>
    <xf numFmtId="185" fontId="56" fillId="0" borderId="0"/>
    <xf numFmtId="9" fontId="56" fillId="0" borderId="0"/>
    <xf numFmtId="172" fontId="56" fillId="0" borderId="0"/>
    <xf numFmtId="0" fontId="56" fillId="0" borderId="0"/>
    <xf numFmtId="10" fontId="56" fillId="0" borderId="0"/>
    <xf numFmtId="10" fontId="56" fillId="0" borderId="0"/>
    <xf numFmtId="0" fontId="57" fillId="0" borderId="0" applyFont="0" applyFill="0" applyBorder="0" applyAlignment="0" applyProtection="0">
      <alignment horizontal="right"/>
    </xf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>
      <alignment horizontal="right"/>
    </xf>
    <xf numFmtId="0" fontId="59" fillId="0" borderId="0" applyNumberFormat="0" applyFont="0" applyFill="0" applyBorder="0" applyAlignment="0" applyProtection="0"/>
    <xf numFmtId="186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0" fontId="60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38" fontId="60" fillId="0" borderId="0" applyFont="0" applyFill="0" applyBorder="0" applyAlignment="0" applyProtection="0"/>
    <xf numFmtId="0" fontId="62" fillId="0" borderId="0"/>
    <xf numFmtId="187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89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77" fontId="53" fillId="0" borderId="0"/>
    <xf numFmtId="191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4" fontId="56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177" fontId="53" fillId="0" borderId="0"/>
    <xf numFmtId="0" fontId="63" fillId="0" borderId="0"/>
    <xf numFmtId="196" fontId="7" fillId="0" borderId="0" applyFont="0" applyFill="0" applyBorder="0" applyAlignment="0" applyProtection="0"/>
    <xf numFmtId="196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63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77" fontId="53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77" fontId="53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7" fillId="22" borderId="0" applyNumberFormat="0" applyFont="0" applyAlignment="0" applyProtection="0"/>
    <xf numFmtId="0" fontId="7" fillId="22" borderId="0" applyNumberFormat="0" applyFont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77" fontId="53" fillId="0" borderId="0"/>
    <xf numFmtId="177" fontId="53" fillId="0" borderId="0"/>
    <xf numFmtId="177" fontId="53" fillId="0" borderId="0"/>
    <xf numFmtId="177" fontId="53" fillId="0" borderId="0"/>
    <xf numFmtId="0" fontId="59" fillId="0" borderId="0" applyNumberFormat="0" applyFill="0" applyBorder="0" applyAlignment="0" applyProtection="0"/>
    <xf numFmtId="197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197" fontId="7" fillId="0" borderId="0" applyFont="0" applyFill="0" applyBorder="0" applyAlignment="0" applyProtection="0"/>
    <xf numFmtId="199" fontId="56" fillId="0" borderId="0" applyFont="0" applyFill="0" applyBorder="0" applyAlignment="0" applyProtection="0"/>
    <xf numFmtId="197" fontId="65" fillId="0" borderId="0" applyFont="0" applyFill="0" applyAlignment="0" applyProtection="0"/>
    <xf numFmtId="197" fontId="7" fillId="0" borderId="0" applyFont="0" applyFill="0" applyBorder="0" applyAlignment="0" applyProtection="0"/>
    <xf numFmtId="19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97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Protection="0">
      <alignment horizontal="right"/>
    </xf>
    <xf numFmtId="201" fontId="7" fillId="0" borderId="0" applyFont="0" applyFill="0" applyBorder="0" applyAlignment="0" applyProtection="0"/>
    <xf numFmtId="203" fontId="56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177" fontId="53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3" fillId="0" borderId="0"/>
    <xf numFmtId="177" fontId="5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205" fontId="7" fillId="0" borderId="0" applyFont="0" applyFill="0" applyBorder="0" applyAlignment="0" applyProtection="0"/>
    <xf numFmtId="187" fontId="7" fillId="0" borderId="0" applyFont="0" applyFill="0" applyBorder="0" applyProtection="0">
      <alignment horizontal="right"/>
    </xf>
    <xf numFmtId="3" fontId="56" fillId="0" borderId="0" applyFont="0" applyFill="0" applyBorder="0" applyAlignment="0" applyProtection="0"/>
    <xf numFmtId="206" fontId="66" fillId="0" borderId="0" applyFont="0" applyFill="0" applyBorder="0" applyAlignment="0" applyProtection="0"/>
    <xf numFmtId="17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8" fontId="56" fillId="0" borderId="0" applyFont="0" applyFill="0" applyBorder="0" applyAlignment="0" applyProtection="0"/>
    <xf numFmtId="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0" fontId="63" fillId="0" borderId="0"/>
    <xf numFmtId="0" fontId="67" fillId="0" borderId="0">
      <alignment vertical="top"/>
    </xf>
    <xf numFmtId="177" fontId="53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Protection="0">
      <alignment vertical="top"/>
    </xf>
    <xf numFmtId="0" fontId="68" fillId="0" borderId="0" applyNumberFormat="0" applyFill="0" applyBorder="0" applyProtection="0">
      <alignment vertical="top"/>
    </xf>
    <xf numFmtId="0" fontId="68" fillId="0" borderId="0" applyNumberFormat="0" applyFill="0" applyBorder="0" applyProtection="0">
      <alignment vertical="top"/>
    </xf>
    <xf numFmtId="0" fontId="68" fillId="0" borderId="0" applyNumberFormat="0" applyFill="0" applyBorder="0" applyProtection="0">
      <alignment vertical="top"/>
    </xf>
    <xf numFmtId="0" fontId="68" fillId="0" borderId="0" applyNumberFormat="0" applyFill="0" applyBorder="0" applyProtection="0">
      <alignment vertical="top"/>
    </xf>
    <xf numFmtId="0" fontId="68" fillId="0" borderId="0" applyNumberFormat="0" applyFill="0" applyBorder="0" applyProtection="0">
      <alignment vertical="top"/>
    </xf>
    <xf numFmtId="0" fontId="68" fillId="0" borderId="0" applyNumberFormat="0" applyFill="0" applyBorder="0" applyProtection="0">
      <alignment vertical="top"/>
    </xf>
    <xf numFmtId="0" fontId="68" fillId="0" borderId="0" applyNumberFormat="0" applyFill="0" applyBorder="0" applyProtection="0">
      <alignment vertical="top"/>
    </xf>
    <xf numFmtId="0" fontId="68" fillId="0" borderId="0" applyNumberFormat="0" applyFill="0" applyBorder="0" applyProtection="0">
      <alignment vertical="top"/>
    </xf>
    <xf numFmtId="0" fontId="68" fillId="0" borderId="0" applyNumberFormat="0" applyFill="0" applyBorder="0" applyProtection="0">
      <alignment vertical="top"/>
    </xf>
    <xf numFmtId="0" fontId="69" fillId="0" borderId="0" applyNumberFormat="0" applyFill="0" applyBorder="0" applyAlignment="0" applyProtection="0"/>
    <xf numFmtId="0" fontId="69" fillId="0" borderId="28" applyNumberFormat="0" applyFill="0" applyAlignment="0" applyProtection="0"/>
    <xf numFmtId="0" fontId="69" fillId="0" borderId="28" applyNumberFormat="0" applyFill="0" applyAlignment="0" applyProtection="0"/>
    <xf numFmtId="0" fontId="69" fillId="0" borderId="28" applyNumberFormat="0" applyFill="0" applyAlignment="0" applyProtection="0"/>
    <xf numFmtId="0" fontId="69" fillId="0" borderId="28" applyNumberFormat="0" applyFill="0" applyAlignment="0" applyProtection="0"/>
    <xf numFmtId="0" fontId="69" fillId="0" borderId="28" applyNumberFormat="0" applyFill="0" applyAlignment="0" applyProtection="0"/>
    <xf numFmtId="0" fontId="69" fillId="0" borderId="28" applyNumberFormat="0" applyFill="0" applyAlignment="0" applyProtection="0"/>
    <xf numFmtId="0" fontId="69" fillId="0" borderId="28" applyNumberFormat="0" applyFill="0" applyAlignment="0" applyProtection="0"/>
    <xf numFmtId="0" fontId="69" fillId="0" borderId="28" applyNumberFormat="0" applyFill="0" applyAlignment="0" applyProtection="0"/>
    <xf numFmtId="0" fontId="69" fillId="0" borderId="28" applyNumberFormat="0" applyFill="0" applyAlignment="0" applyProtection="0"/>
    <xf numFmtId="0" fontId="69" fillId="0" borderId="28" applyNumberFormat="0" applyFill="0" applyAlignment="0" applyProtection="0"/>
    <xf numFmtId="0" fontId="69" fillId="0" borderId="29" applyNumberFormat="0" applyFill="0" applyAlignment="0" applyProtection="0"/>
    <xf numFmtId="0" fontId="69" fillId="0" borderId="29" applyNumberFormat="0" applyFill="0" applyAlignment="0" applyProtection="0"/>
    <xf numFmtId="0" fontId="69" fillId="0" borderId="28" applyNumberFormat="0" applyFill="0" applyAlignment="0" applyProtection="0"/>
    <xf numFmtId="0" fontId="69" fillId="0" borderId="28" applyNumberFormat="0" applyFill="0" applyAlignment="0" applyProtection="0"/>
    <xf numFmtId="0" fontId="69" fillId="0" borderId="28" applyNumberFormat="0" applyFill="0" applyAlignment="0" applyProtection="0"/>
    <xf numFmtId="0" fontId="69" fillId="0" borderId="28" applyNumberFormat="0" applyFill="0" applyAlignment="0" applyProtection="0"/>
    <xf numFmtId="0" fontId="70" fillId="0" borderId="30" applyNumberFormat="0" applyFill="0" applyProtection="0">
      <alignment horizontal="center"/>
    </xf>
    <xf numFmtId="0" fontId="70" fillId="0" borderId="30" applyNumberFormat="0" applyFill="0" applyProtection="0">
      <alignment horizontal="center"/>
    </xf>
    <xf numFmtId="0" fontId="70" fillId="0" borderId="30" applyNumberFormat="0" applyFill="0" applyProtection="0">
      <alignment horizontal="center"/>
    </xf>
    <xf numFmtId="0" fontId="70" fillId="0" borderId="30" applyNumberFormat="0" applyFill="0" applyProtection="0">
      <alignment horizontal="center"/>
    </xf>
    <xf numFmtId="0" fontId="70" fillId="0" borderId="30" applyNumberFormat="0" applyFill="0" applyProtection="0">
      <alignment horizontal="center"/>
    </xf>
    <xf numFmtId="0" fontId="70" fillId="0" borderId="30" applyNumberFormat="0" applyFill="0" applyProtection="0">
      <alignment horizontal="center"/>
    </xf>
    <xf numFmtId="0" fontId="70" fillId="0" borderId="30" applyNumberFormat="0" applyFill="0" applyProtection="0">
      <alignment horizontal="center"/>
    </xf>
    <xf numFmtId="0" fontId="70" fillId="0" borderId="30" applyNumberFormat="0" applyFill="0" applyProtection="0">
      <alignment horizontal="center"/>
    </xf>
    <xf numFmtId="0" fontId="70" fillId="0" borderId="30" applyNumberFormat="0" applyFill="0" applyProtection="0">
      <alignment horizontal="center"/>
    </xf>
    <xf numFmtId="0" fontId="7" fillId="0" borderId="31" applyNumberFormat="0" applyFont="0" applyFill="0" applyAlignment="0" applyProtection="0"/>
    <xf numFmtId="0" fontId="7" fillId="0" borderId="31" applyNumberFormat="0" applyFont="0" applyFill="0" applyAlignment="0" applyProtection="0"/>
    <xf numFmtId="0" fontId="70" fillId="0" borderId="0" applyNumberFormat="0" applyFill="0" applyBorder="0" applyProtection="0">
      <alignment horizontal="left"/>
    </xf>
    <xf numFmtId="0" fontId="71" fillId="0" borderId="0" applyNumberFormat="0" applyFill="0" applyBorder="0" applyProtection="0">
      <alignment horizontal="centerContinuous"/>
    </xf>
    <xf numFmtId="0" fontId="71" fillId="0" borderId="0" applyNumberFormat="0" applyFill="0" applyProtection="0">
      <alignment horizontal="centerContinuous"/>
    </xf>
    <xf numFmtId="0" fontId="63" fillId="0" borderId="0"/>
    <xf numFmtId="0" fontId="63" fillId="0" borderId="0"/>
    <xf numFmtId="0" fontId="63" fillId="0" borderId="0"/>
    <xf numFmtId="177" fontId="53" fillId="0" borderId="0"/>
    <xf numFmtId="177" fontId="53" fillId="0" borderId="0"/>
    <xf numFmtId="177" fontId="53" fillId="0" borderId="0"/>
    <xf numFmtId="177" fontId="53" fillId="0" borderId="0"/>
    <xf numFmtId="177" fontId="53" fillId="0" borderId="0"/>
    <xf numFmtId="177" fontId="53" fillId="0" borderId="0"/>
    <xf numFmtId="177" fontId="53" fillId="0" borderId="0"/>
    <xf numFmtId="177" fontId="53" fillId="0" borderId="0"/>
    <xf numFmtId="177" fontId="53" fillId="0" borderId="0"/>
    <xf numFmtId="177" fontId="53" fillId="0" borderId="0"/>
    <xf numFmtId="177" fontId="53" fillId="0" borderId="0"/>
    <xf numFmtId="0" fontId="63" fillId="0" borderId="0"/>
    <xf numFmtId="210" fontId="58" fillId="0" borderId="0" applyFont="0" applyFill="0" applyBorder="0" applyAlignment="0" applyProtection="0"/>
    <xf numFmtId="211" fontId="58" fillId="0" borderId="0" applyFont="0" applyFill="0" applyBorder="0" applyAlignment="0" applyProtection="0"/>
    <xf numFmtId="212" fontId="56" fillId="0" borderId="0" applyFont="0" applyFill="0" applyBorder="0" applyAlignment="0" applyProtection="0"/>
    <xf numFmtId="213" fontId="56" fillId="0" borderId="0"/>
    <xf numFmtId="214" fontId="56" fillId="0" borderId="0"/>
    <xf numFmtId="215" fontId="56" fillId="0" borderId="0"/>
    <xf numFmtId="216" fontId="5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8" fillId="0" borderId="0"/>
    <xf numFmtId="0" fontId="58" fillId="0" borderId="0"/>
    <xf numFmtId="0" fontId="56" fillId="0" borderId="0"/>
    <xf numFmtId="9" fontId="7" fillId="0" borderId="0"/>
    <xf numFmtId="0" fontId="56" fillId="0" borderId="0"/>
    <xf numFmtId="0" fontId="7" fillId="0" borderId="0"/>
    <xf numFmtId="0" fontId="7" fillId="0" borderId="0"/>
    <xf numFmtId="0" fontId="72" fillId="0" borderId="0"/>
    <xf numFmtId="0" fontId="72" fillId="0" borderId="0"/>
    <xf numFmtId="2" fontId="72" fillId="0" borderId="0"/>
    <xf numFmtId="10" fontId="72" fillId="0" borderId="0"/>
    <xf numFmtId="204" fontId="66" fillId="0" borderId="31" applyFont="0" applyFill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217" fontId="7" fillId="0" borderId="0">
      <alignment horizontal="left"/>
    </xf>
    <xf numFmtId="217" fontId="7" fillId="0" borderId="0">
      <alignment horizontal="left"/>
    </xf>
    <xf numFmtId="217" fontId="7" fillId="0" borderId="0">
      <alignment horizontal="left"/>
    </xf>
    <xf numFmtId="218" fontId="7" fillId="0" borderId="0">
      <alignment horizontal="left"/>
    </xf>
    <xf numFmtId="218" fontId="7" fillId="0" borderId="0">
      <alignment horizontal="left"/>
    </xf>
    <xf numFmtId="218" fontId="7" fillId="0" borderId="0">
      <alignment horizontal="left"/>
    </xf>
    <xf numFmtId="172" fontId="73" fillId="0" borderId="0" applyAlignment="0"/>
    <xf numFmtId="3" fontId="74" fillId="55" borderId="0">
      <alignment horizontal="left"/>
    </xf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3" fontId="75" fillId="56" borderId="0"/>
    <xf numFmtId="0" fontId="58" fillId="57" borderId="21"/>
    <xf numFmtId="219" fontId="73" fillId="0" borderId="0">
      <alignment horizontal="right"/>
    </xf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37" fontId="76" fillId="0" borderId="0">
      <alignment horizont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37" fontId="78" fillId="0" borderId="0"/>
    <xf numFmtId="37" fontId="79" fillId="0" borderId="0"/>
    <xf numFmtId="37" fontId="80" fillId="0" borderId="0"/>
    <xf numFmtId="0" fontId="81" fillId="58" borderId="32">
      <alignment horizontal="center"/>
    </xf>
    <xf numFmtId="0" fontId="82" fillId="56" borderId="0"/>
    <xf numFmtId="0" fontId="83" fillId="56" borderId="0">
      <alignment horizontal="center"/>
    </xf>
    <xf numFmtId="0" fontId="84" fillId="56" borderId="0">
      <alignment horizontal="left"/>
    </xf>
    <xf numFmtId="3" fontId="82" fillId="59" borderId="0">
      <alignment horizontal="left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220" fontId="85" fillId="0" borderId="0" applyFont="0" applyFill="0" applyBorder="0" applyAlignment="0" applyProtection="0"/>
    <xf numFmtId="221" fontId="85" fillId="0" borderId="0" applyFont="0" applyFill="0" applyBorder="0" applyAlignment="0" applyProtection="0"/>
    <xf numFmtId="222" fontId="85" fillId="0" borderId="0" applyFont="0" applyFill="0" applyBorder="0" applyAlignment="0" applyProtection="0"/>
    <xf numFmtId="0" fontId="86" fillId="0" borderId="0" applyFont="0">
      <alignment horizontal="centerContinuous"/>
    </xf>
    <xf numFmtId="189" fontId="87" fillId="0" borderId="0"/>
    <xf numFmtId="38" fontId="88" fillId="60" borderId="21"/>
    <xf numFmtId="223" fontId="89" fillId="0" borderId="0">
      <alignment horizontal="center" vertical="center"/>
    </xf>
    <xf numFmtId="10" fontId="7" fillId="61" borderId="0" applyFont="0" applyBorder="0" applyAlignment="0">
      <protection locked="0"/>
    </xf>
    <xf numFmtId="224" fontId="7" fillId="61" borderId="0" applyBorder="0" applyAlignment="0">
      <protection locked="0"/>
    </xf>
    <xf numFmtId="37" fontId="90" fillId="62" borderId="22" applyBorder="0" applyProtection="0">
      <alignment vertical="center"/>
    </xf>
    <xf numFmtId="1" fontId="52" fillId="0" borderId="23">
      <alignment horizontal="right"/>
    </xf>
    <xf numFmtId="3" fontId="91" fillId="63" borderId="33">
      <alignment horizontal="center"/>
    </xf>
    <xf numFmtId="3" fontId="92" fillId="64" borderId="32" applyNumberFormat="0">
      <alignment horizontal="center"/>
    </xf>
    <xf numFmtId="14" fontId="70" fillId="65" borderId="34" applyNumberFormat="0" applyFont="0" applyBorder="0" applyAlignment="0" applyProtection="0">
      <alignment horizontal="center" vertical="center"/>
    </xf>
    <xf numFmtId="38" fontId="92" fillId="16" borderId="32">
      <alignment horizontal="center"/>
    </xf>
    <xf numFmtId="0" fontId="93" fillId="0" borderId="26">
      <protection hidden="1"/>
    </xf>
    <xf numFmtId="0" fontId="58" fillId="0" borderId="0">
      <alignment horizontal="centerContinuous"/>
    </xf>
    <xf numFmtId="0" fontId="58" fillId="0" borderId="0">
      <alignment horizontal="centerContinuous"/>
    </xf>
    <xf numFmtId="0" fontId="86" fillId="0" borderId="5">
      <alignment horizontal="centerContinuous"/>
    </xf>
    <xf numFmtId="0" fontId="7" fillId="0" borderId="0"/>
    <xf numFmtId="0" fontId="94" fillId="0" borderId="0"/>
    <xf numFmtId="183" fontId="94" fillId="0" borderId="0"/>
    <xf numFmtId="184" fontId="94" fillId="0" borderId="0"/>
    <xf numFmtId="185" fontId="94" fillId="0" borderId="0"/>
    <xf numFmtId="9" fontId="94" fillId="0" borderId="0"/>
    <xf numFmtId="225" fontId="94" fillId="0" borderId="0">
      <alignment horizontal="right"/>
    </xf>
    <xf numFmtId="10" fontId="9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213" fontId="94" fillId="0" borderId="0"/>
    <xf numFmtId="214" fontId="94" fillId="0" borderId="0"/>
    <xf numFmtId="215" fontId="94" fillId="0" borderId="0"/>
    <xf numFmtId="171" fontId="94" fillId="0" borderId="0"/>
    <xf numFmtId="0" fontId="56" fillId="0" borderId="0"/>
    <xf numFmtId="171" fontId="7" fillId="0" borderId="0"/>
    <xf numFmtId="0" fontId="94" fillId="0" borderId="0"/>
    <xf numFmtId="170" fontId="9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95" fillId="66" borderId="35"/>
    <xf numFmtId="1" fontId="96" fillId="66" borderId="36">
      <alignment horizontal="center"/>
    </xf>
    <xf numFmtId="3" fontId="97" fillId="0" borderId="37">
      <alignment horizontal="center"/>
    </xf>
    <xf numFmtId="38" fontId="98" fillId="0" borderId="0" applyNumberFormat="0" applyFill="0" applyBorder="0" applyAlignment="0" applyProtection="0"/>
    <xf numFmtId="0" fontId="99" fillId="0" borderId="0" applyFont="0" applyFill="0" applyBorder="0" applyAlignment="0" applyProtection="0">
      <alignment horizontal="right"/>
    </xf>
    <xf numFmtId="0" fontId="7" fillId="0" borderId="0" applyFont="0" applyFill="0" applyBorder="0" applyAlignment="0" applyProtection="0">
      <alignment horizontal="right"/>
    </xf>
    <xf numFmtId="0" fontId="100" fillId="0" borderId="0" applyNumberFormat="0" applyFill="0" applyBorder="0" applyAlignment="0" applyProtection="0"/>
    <xf numFmtId="0" fontId="101" fillId="0" borderId="0"/>
    <xf numFmtId="0" fontId="7" fillId="0" borderId="0"/>
    <xf numFmtId="0" fontId="7" fillId="0" borderId="0"/>
    <xf numFmtId="171" fontId="56" fillId="0" borderId="0"/>
    <xf numFmtId="0" fontId="56" fillId="0" borderId="0"/>
    <xf numFmtId="0" fontId="7" fillId="0" borderId="0"/>
    <xf numFmtId="226" fontId="102" fillId="0" borderId="0" applyNumberFormat="0" applyFill="0" applyBorder="0" applyAlignment="0"/>
    <xf numFmtId="0" fontId="103" fillId="0" borderId="0" applyNumberFormat="0"/>
    <xf numFmtId="0" fontId="104" fillId="0" borderId="5"/>
    <xf numFmtId="0" fontId="105" fillId="0" borderId="0" applyNumberFormat="0"/>
    <xf numFmtId="0" fontId="86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189" fontId="106" fillId="0" borderId="0"/>
    <xf numFmtId="0" fontId="106" fillId="0" borderId="0">
      <alignment vertical="center"/>
    </xf>
    <xf numFmtId="227" fontId="107" fillId="0" borderId="38"/>
    <xf numFmtId="37" fontId="108" fillId="0" borderId="39" applyNumberFormat="0" applyFont="0" applyFill="0" applyAlignment="0" applyProtection="0"/>
    <xf numFmtId="37" fontId="108" fillId="0" borderId="40" applyNumberFormat="0" applyFont="0" applyFill="0" applyAlignment="0" applyProtection="0"/>
    <xf numFmtId="0" fontId="98" fillId="0" borderId="5" applyNumberFormat="0" applyFont="0" applyFill="0" applyAlignment="0" applyProtection="0"/>
    <xf numFmtId="171" fontId="56" fillId="0" borderId="0"/>
    <xf numFmtId="171" fontId="94" fillId="0" borderId="40"/>
    <xf numFmtId="170" fontId="94" fillId="0" borderId="40"/>
    <xf numFmtId="0" fontId="109" fillId="0" borderId="5">
      <alignment horizontal="centerContinuous"/>
    </xf>
    <xf numFmtId="228" fontId="56" fillId="0" borderId="0" applyFont="0" applyFill="0" applyBorder="0" applyAlignment="0" applyProtection="0"/>
    <xf numFmtId="229" fontId="94" fillId="0" borderId="0"/>
    <xf numFmtId="230" fontId="94" fillId="0" borderId="0"/>
    <xf numFmtId="231" fontId="94" fillId="0" borderId="0"/>
    <xf numFmtId="0" fontId="110" fillId="0" borderId="0"/>
    <xf numFmtId="0" fontId="86" fillId="0" borderId="0">
      <alignment horizontal="center"/>
    </xf>
    <xf numFmtId="0" fontId="86" fillId="0" borderId="0">
      <alignment horizontal="center"/>
    </xf>
    <xf numFmtId="0" fontId="86" fillId="0" borderId="0">
      <alignment horizontal="center"/>
    </xf>
    <xf numFmtId="0" fontId="86" fillId="0" borderId="0">
      <alignment horizontal="center"/>
    </xf>
    <xf numFmtId="0" fontId="86" fillId="0" borderId="0">
      <alignment horizontal="center"/>
    </xf>
    <xf numFmtId="0" fontId="86" fillId="0" borderId="0">
      <alignment horizontal="center"/>
    </xf>
    <xf numFmtId="0" fontId="86" fillId="0" borderId="0">
      <alignment horizontal="center"/>
    </xf>
    <xf numFmtId="0" fontId="86" fillId="0" borderId="0">
      <alignment horizontal="center"/>
    </xf>
    <xf numFmtId="0" fontId="86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14" fontId="111" fillId="0" borderId="0"/>
    <xf numFmtId="14" fontId="111" fillId="0" borderId="0"/>
    <xf numFmtId="14" fontId="111" fillId="0" borderId="0"/>
    <xf numFmtId="14" fontId="111" fillId="0" borderId="0"/>
    <xf numFmtId="14" fontId="111" fillId="0" borderId="0"/>
    <xf numFmtId="14" fontId="111" fillId="0" borderId="0"/>
    <xf numFmtId="14" fontId="111" fillId="0" borderId="0"/>
    <xf numFmtId="14" fontId="111" fillId="0" borderId="0"/>
    <xf numFmtId="14" fontId="111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14" fontId="7" fillId="0" borderId="0"/>
    <xf numFmtId="14" fontId="7" fillId="0" borderId="0"/>
    <xf numFmtId="14" fontId="7" fillId="0" borderId="0"/>
    <xf numFmtId="14" fontId="7" fillId="0" borderId="0"/>
    <xf numFmtId="14" fontId="7" fillId="0" borderId="0"/>
    <xf numFmtId="14" fontId="7" fillId="0" borderId="0"/>
    <xf numFmtId="14" fontId="7" fillId="0" borderId="0"/>
    <xf numFmtId="14" fontId="7" fillId="0" borderId="0"/>
    <xf numFmtId="14" fontId="7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37" fontId="56" fillId="0" borderId="0">
      <alignment horizontal="center"/>
    </xf>
    <xf numFmtId="0" fontId="56" fillId="0" borderId="0"/>
    <xf numFmtId="39" fontId="112" fillId="0" borderId="0" applyFill="0" applyBorder="0" applyAlignment="0"/>
    <xf numFmtId="232" fontId="7" fillId="0" borderId="0" applyFill="0" applyBorder="0" applyAlignment="0"/>
    <xf numFmtId="233" fontId="7" fillId="0" borderId="0" applyFill="0" applyBorder="0" applyAlignment="0"/>
    <xf numFmtId="234" fontId="7" fillId="0" borderId="0" applyFill="0" applyBorder="0" applyAlignment="0"/>
    <xf numFmtId="235" fontId="7" fillId="0" borderId="0" applyFill="0" applyBorder="0" applyAlignment="0"/>
    <xf numFmtId="236" fontId="7" fillId="0" borderId="0" applyFill="0" applyBorder="0" applyAlignment="0"/>
    <xf numFmtId="237" fontId="7" fillId="0" borderId="0" applyFill="0" applyBorder="0" applyAlignment="0"/>
    <xf numFmtId="232" fontId="7" fillId="0" borderId="0" applyFill="0" applyBorder="0" applyAlignment="0"/>
    <xf numFmtId="3" fontId="113" fillId="56" borderId="0" applyFont="0" applyAlignment="0">
      <alignment horizontal="left"/>
    </xf>
    <xf numFmtId="0" fontId="12" fillId="16" borderId="1" applyNumberFormat="0" applyAlignment="0" applyProtection="0"/>
    <xf numFmtId="0" fontId="12" fillId="16" borderId="1" applyNumberFormat="0" applyAlignment="0" applyProtection="0"/>
    <xf numFmtId="0" fontId="1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" fontId="110" fillId="66" borderId="33">
      <alignment horizontal="center"/>
    </xf>
    <xf numFmtId="0" fontId="91" fillId="0" borderId="0" applyFill="0" applyBorder="0" applyProtection="0">
      <alignment horizontal="center"/>
      <protection locked="0"/>
    </xf>
    <xf numFmtId="0" fontId="102" fillId="0" borderId="0" applyFill="0" applyBorder="0" applyProtection="0">
      <alignment horizontal="center"/>
    </xf>
    <xf numFmtId="1" fontId="115" fillId="0" borderId="0"/>
    <xf numFmtId="0" fontId="13" fillId="17" borderId="2" applyNumberFormat="0" applyAlignment="0" applyProtection="0"/>
    <xf numFmtId="0" fontId="13" fillId="17" borderId="2" applyNumberFormat="0" applyAlignment="0" applyProtection="0"/>
    <xf numFmtId="171" fontId="56" fillId="0" borderId="0"/>
    <xf numFmtId="0" fontId="52" fillId="67" borderId="41" applyFont="0" applyFill="0" applyBorder="0"/>
    <xf numFmtId="0" fontId="51" fillId="0" borderId="26"/>
    <xf numFmtId="238" fontId="116" fillId="56" borderId="27">
      <alignment horizontal="right"/>
    </xf>
    <xf numFmtId="0" fontId="72" fillId="0" borderId="0">
      <alignment horizontal="center" wrapText="1"/>
      <protection hidden="1"/>
    </xf>
    <xf numFmtId="0" fontId="52" fillId="0" borderId="25">
      <alignment horizontal="center"/>
    </xf>
    <xf numFmtId="239" fontId="117" fillId="0" borderId="0"/>
    <xf numFmtId="239" fontId="117" fillId="0" borderId="0"/>
    <xf numFmtId="239" fontId="117" fillId="0" borderId="0"/>
    <xf numFmtId="239" fontId="117" fillId="0" borderId="0"/>
    <xf numFmtId="239" fontId="117" fillId="0" borderId="0"/>
    <xf numFmtId="239" fontId="117" fillId="0" borderId="0"/>
    <xf numFmtId="239" fontId="117" fillId="0" borderId="0"/>
    <xf numFmtId="239" fontId="117" fillId="0" borderId="0"/>
    <xf numFmtId="240" fontId="87" fillId="0" borderId="0" applyFont="0"/>
    <xf numFmtId="236" fontId="7" fillId="0" borderId="0" applyFont="0" applyFill="0" applyBorder="0" applyAlignment="0" applyProtection="0"/>
    <xf numFmtId="0" fontId="118" fillId="0" borderId="0" applyFont="0" applyFill="0" applyBorder="0" applyAlignment="0" applyProtection="0"/>
    <xf numFmtId="40" fontId="118" fillId="0" borderId="0" applyFont="0" applyFill="0" applyBorder="0" applyAlignment="0" applyProtection="0"/>
    <xf numFmtId="241" fontId="119" fillId="0" borderId="0" applyFont="0" applyFill="0" applyBorder="0" applyAlignment="0" applyProtection="0">
      <alignment horizontal="right"/>
    </xf>
    <xf numFmtId="242" fontId="119" fillId="0" borderId="0" applyFont="0" applyFill="0" applyBorder="0" applyAlignment="0" applyProtection="0"/>
    <xf numFmtId="243" fontId="89" fillId="0" borderId="0" applyFont="0" applyFill="0" applyBorder="0" applyAlignment="0" applyProtection="0"/>
    <xf numFmtId="39" fontId="120" fillId="0" borderId="0" applyFont="0" applyFill="0" applyBorder="0" applyAlignment="0" applyProtection="0"/>
    <xf numFmtId="244" fontId="121" fillId="0" borderId="0" applyFont="0" applyFill="0" applyBorder="0" applyAlignment="0" applyProtection="0"/>
    <xf numFmtId="245" fontId="7" fillId="0" borderId="0" applyFont="0" applyFill="0" applyBorder="0" applyAlignment="0" applyProtection="0">
      <alignment horizontal="right"/>
    </xf>
    <xf numFmtId="226" fontId="122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38" fontId="56" fillId="0" borderId="0" applyFill="0" applyBorder="0" applyProtection="0">
      <alignment horizontal="center"/>
    </xf>
    <xf numFmtId="3" fontId="56" fillId="0" borderId="0" applyFont="0" applyFill="0" applyBorder="0" applyAlignment="0" applyProtection="0"/>
    <xf numFmtId="0" fontId="123" fillId="0" borderId="0"/>
    <xf numFmtId="0" fontId="124" fillId="0" borderId="0"/>
    <xf numFmtId="0" fontId="123" fillId="0" borderId="0"/>
    <xf numFmtId="0" fontId="124" fillId="0" borderId="0"/>
    <xf numFmtId="3" fontId="125" fillId="0" borderId="0">
      <alignment horizontal="center"/>
    </xf>
    <xf numFmtId="0" fontId="126" fillId="68" borderId="0">
      <alignment horizontal="center" vertical="center" wrapText="1"/>
    </xf>
    <xf numFmtId="0" fontId="127" fillId="0" borderId="0" applyFill="0" applyBorder="0" applyAlignment="0" applyProtection="0">
      <protection locked="0"/>
    </xf>
    <xf numFmtId="177" fontId="128" fillId="0" borderId="0" applyFill="0" applyBorder="0">
      <alignment horizontal="left"/>
    </xf>
    <xf numFmtId="246" fontId="86" fillId="0" borderId="0" applyFont="0" applyFill="0" applyBorder="0" applyAlignment="0">
      <alignment horizontal="right"/>
      <protection locked="0"/>
    </xf>
    <xf numFmtId="247" fontId="7" fillId="0" borderId="0" applyFill="0" applyBorder="0">
      <alignment horizontal="right"/>
      <protection locked="0"/>
    </xf>
    <xf numFmtId="211" fontId="7" fillId="0" borderId="0">
      <alignment horizontal="right"/>
    </xf>
    <xf numFmtId="232" fontId="7" fillId="0" borderId="0" applyFont="0" applyFill="0" applyBorder="0" applyAlignment="0" applyProtection="0"/>
    <xf numFmtId="0" fontId="129" fillId="0" borderId="0" applyFont="0" applyFill="0" applyBorder="0" applyAlignment="0" applyProtection="0"/>
    <xf numFmtId="248" fontId="51" fillId="0" borderId="0" applyFont="0" applyFill="0" applyBorder="0" applyAlignment="0"/>
    <xf numFmtId="0" fontId="129" fillId="0" borderId="0" applyFont="0" applyFill="0" applyBorder="0" applyAlignment="0" applyProtection="0"/>
    <xf numFmtId="249" fontId="119" fillId="0" borderId="0" applyFont="0" applyFill="0" applyBorder="0" applyAlignment="0" applyProtection="0">
      <alignment horizontal="right"/>
    </xf>
    <xf numFmtId="250" fontId="121" fillId="0" borderId="0" applyFont="0" applyFill="0" applyBorder="0" applyAlignment="0" applyProtection="0"/>
    <xf numFmtId="251" fontId="120" fillId="0" borderId="0" applyFont="0" applyFill="0" applyBorder="0" applyAlignment="0" applyProtection="0"/>
    <xf numFmtId="252" fontId="121" fillId="0" borderId="0" applyFont="0" applyFill="0" applyBorder="0" applyAlignment="0" applyProtection="0"/>
    <xf numFmtId="253" fontId="7" fillId="0" borderId="0" applyFont="0" applyFill="0" applyBorder="0" applyAlignment="0" applyProtection="0">
      <alignment horizontal="right"/>
    </xf>
    <xf numFmtId="210" fontId="7" fillId="0" borderId="0" applyFont="0" applyFill="0" applyBorder="0" applyAlignment="0" applyProtection="0"/>
    <xf numFmtId="254" fontId="56" fillId="0" borderId="0" applyFont="0" applyFill="0" applyBorder="0" applyAlignment="0" applyProtection="0"/>
    <xf numFmtId="0" fontId="94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3" fontId="97" fillId="56" borderId="0" applyNumberFormat="0" applyAlignment="0"/>
    <xf numFmtId="255" fontId="56" fillId="0" borderId="0" applyFont="0" applyFill="0" applyBorder="0" applyAlignment="0" applyProtection="0"/>
    <xf numFmtId="14" fontId="7" fillId="0" borderId="0" applyFont="0" applyFill="0" applyBorder="0" applyAlignment="0" applyProtection="0">
      <alignment vertical="center"/>
    </xf>
    <xf numFmtId="15" fontId="52" fillId="0" borderId="0" applyFill="0" applyBorder="0" applyAlignment="0"/>
    <xf numFmtId="15" fontId="52" fillId="0" borderId="0" applyFill="0" applyBorder="0" applyAlignment="0"/>
    <xf numFmtId="226" fontId="52" fillId="61" borderId="0" applyFont="0" applyFill="0" applyBorder="0" applyAlignment="0" applyProtection="0"/>
    <xf numFmtId="226" fontId="52" fillId="61" borderId="0" applyFont="0" applyFill="0" applyBorder="0" applyAlignment="0" applyProtection="0"/>
    <xf numFmtId="256" fontId="7" fillId="61" borderId="42" applyFont="0" applyFill="0" applyBorder="0" applyAlignment="0" applyProtection="0"/>
    <xf numFmtId="256" fontId="7" fillId="61" borderId="42" applyFont="0" applyFill="0" applyBorder="0" applyAlignment="0" applyProtection="0"/>
    <xf numFmtId="257" fontId="7" fillId="61" borderId="0" applyFont="0" applyFill="0" applyBorder="0" applyAlignment="0" applyProtection="0"/>
    <xf numFmtId="257" fontId="7" fillId="61" borderId="0" applyFont="0" applyFill="0" applyBorder="0" applyAlignment="0" applyProtection="0"/>
    <xf numFmtId="17" fontId="52" fillId="0" borderId="0" applyFill="0" applyBorder="0">
      <alignment horizontal="right"/>
    </xf>
    <xf numFmtId="17" fontId="52" fillId="0" borderId="0" applyFill="0" applyBorder="0">
      <alignment horizontal="right"/>
    </xf>
    <xf numFmtId="258" fontId="7" fillId="0" borderId="5"/>
    <xf numFmtId="258" fontId="7" fillId="0" borderId="5"/>
    <xf numFmtId="258" fontId="7" fillId="0" borderId="5"/>
    <xf numFmtId="14" fontId="52" fillId="69" borderId="24" applyFill="0" applyBorder="0">
      <alignment horizontal="right"/>
    </xf>
    <xf numFmtId="259" fontId="119" fillId="0" borderId="0" applyFont="0" applyFill="0" applyBorder="0" applyAlignment="0" applyProtection="0"/>
    <xf numFmtId="14" fontId="82" fillId="0" borderId="0" applyFill="0" applyBorder="0" applyAlignment="0"/>
    <xf numFmtId="14" fontId="89" fillId="0" borderId="0" applyFont="0" applyFill="0" applyBorder="0" applyAlignment="0" applyProtection="0"/>
    <xf numFmtId="0" fontId="58" fillId="0" borderId="0"/>
    <xf numFmtId="256" fontId="7" fillId="0" borderId="0" applyFill="0" applyBorder="0">
      <alignment horizontal="right"/>
    </xf>
    <xf numFmtId="256" fontId="7" fillId="0" borderId="0" applyFill="0" applyBorder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39" fontId="124" fillId="0" borderId="0" applyFont="0" applyFill="0" applyBorder="0" applyAlignment="0" applyProtection="0"/>
    <xf numFmtId="219" fontId="55" fillId="0" borderId="0" applyFont="0" applyFill="0" applyBorder="0" applyAlignment="0"/>
    <xf numFmtId="0" fontId="130" fillId="70" borderId="25" applyNumberFormat="0" applyBorder="0" applyAlignment="0">
      <alignment horizontal="center"/>
      <protection hidden="1"/>
    </xf>
    <xf numFmtId="168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131" fillId="0" borderId="0">
      <protection locked="0"/>
    </xf>
    <xf numFmtId="0" fontId="7" fillId="0" borderId="0"/>
    <xf numFmtId="3" fontId="132" fillId="71" borderId="32">
      <alignment horizontal="center"/>
    </xf>
    <xf numFmtId="260" fontId="56" fillId="0" borderId="0" applyFill="0" applyBorder="0" applyProtection="0">
      <alignment horizontal="center"/>
    </xf>
    <xf numFmtId="261" fontId="56" fillId="0" borderId="0">
      <alignment horizontal="center"/>
    </xf>
    <xf numFmtId="262" fontId="133" fillId="0" borderId="0"/>
    <xf numFmtId="263" fontId="7" fillId="0" borderId="0" applyFont="0" applyFill="0" applyBorder="0" applyAlignment="0" applyProtection="0"/>
    <xf numFmtId="263" fontId="82" fillId="0" borderId="0" applyFont="0" applyFill="0" applyBorder="0" applyAlignment="0" applyProtection="0">
      <protection locked="0"/>
    </xf>
    <xf numFmtId="165" fontId="51" fillId="0" borderId="0"/>
    <xf numFmtId="165" fontId="51" fillId="0" borderId="0"/>
    <xf numFmtId="264" fontId="119" fillId="0" borderId="43" applyNumberFormat="0" applyFont="0" applyFill="0" applyAlignment="0" applyProtection="0"/>
    <xf numFmtId="172" fontId="58" fillId="0" borderId="44" applyFill="0" applyBorder="0" applyAlignment="0">
      <alignment horizontal="centerContinuous"/>
    </xf>
    <xf numFmtId="0" fontId="134" fillId="0" borderId="0">
      <protection locked="0"/>
    </xf>
    <xf numFmtId="0" fontId="134" fillId="0" borderId="0">
      <protection locked="0"/>
    </xf>
    <xf numFmtId="236" fontId="7" fillId="0" borderId="0" applyFill="0" applyBorder="0" applyAlignment="0"/>
    <xf numFmtId="232" fontId="7" fillId="0" borderId="0" applyFill="0" applyBorder="0" applyAlignment="0"/>
    <xf numFmtId="236" fontId="7" fillId="0" borderId="0" applyFill="0" applyBorder="0" applyAlignment="0"/>
    <xf numFmtId="237" fontId="7" fillId="0" borderId="0" applyFill="0" applyBorder="0" applyAlignment="0"/>
    <xf numFmtId="232" fontId="7" fillId="0" borderId="0" applyFill="0" applyBorder="0" applyAlignment="0"/>
    <xf numFmtId="265" fontId="58" fillId="0" borderId="0" applyFont="0" applyFill="0" applyBorder="0" applyAlignment="0" applyProtection="0">
      <alignment horizontal="right"/>
    </xf>
    <xf numFmtId="0" fontId="7" fillId="0" borderId="0"/>
    <xf numFmtId="0" fontId="7" fillId="0" borderId="0"/>
    <xf numFmtId="266" fontId="7" fillId="0" borderId="0" applyFont="0" applyFill="0" applyBorder="0" applyAlignment="0" applyProtection="0"/>
    <xf numFmtId="266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24" fillId="0" borderId="0"/>
    <xf numFmtId="267" fontId="135" fillId="56" borderId="21"/>
    <xf numFmtId="0" fontId="131" fillId="0" borderId="0">
      <protection locked="0"/>
    </xf>
    <xf numFmtId="37" fontId="136" fillId="0" borderId="0" applyNumberFormat="0" applyFill="0" applyBorder="0" applyAlignment="0" applyProtection="0"/>
    <xf numFmtId="0" fontId="131" fillId="0" borderId="0">
      <protection locked="0"/>
    </xf>
    <xf numFmtId="0" fontId="133" fillId="0" borderId="0"/>
    <xf numFmtId="268" fontId="7" fillId="61" borderId="0" applyFont="0" applyFill="0" applyBorder="0" applyAlignment="0"/>
    <xf numFmtId="268" fontId="7" fillId="61" borderId="0" applyFont="0" applyFill="0" applyBorder="0" applyAlignment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37" fillId="0" borderId="0" applyFill="0" applyBorder="0" applyProtection="0">
      <alignment horizontal="left"/>
    </xf>
    <xf numFmtId="0" fontId="7" fillId="0" borderId="0"/>
    <xf numFmtId="38" fontId="138" fillId="0" borderId="26" applyBorder="0"/>
    <xf numFmtId="10" fontId="7" fillId="61" borderId="0" applyNumberFormat="0" applyFont="0" applyBorder="0" applyAlignment="0"/>
    <xf numFmtId="10" fontId="7" fillId="61" borderId="0" applyNumberFormat="0" applyFont="0" applyBorder="0" applyAlignment="0"/>
    <xf numFmtId="0" fontId="58" fillId="0" borderId="23" applyBorder="0"/>
    <xf numFmtId="4" fontId="7" fillId="0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38" fontId="51" fillId="56" borderId="0" applyNumberFormat="0" applyBorder="0" applyAlignment="0" applyProtection="0"/>
    <xf numFmtId="38" fontId="51" fillId="56" borderId="0" applyNumberFormat="0" applyBorder="0" applyAlignment="0" applyProtection="0"/>
    <xf numFmtId="38" fontId="51" fillId="56" borderId="0" applyNumberFormat="0" applyBorder="0" applyAlignment="0" applyProtection="0"/>
    <xf numFmtId="168" fontId="91" fillId="0" borderId="0"/>
    <xf numFmtId="0" fontId="7" fillId="0" borderId="0"/>
    <xf numFmtId="269" fontId="56" fillId="0" borderId="0"/>
    <xf numFmtId="269" fontId="56" fillId="0" borderId="0"/>
    <xf numFmtId="269" fontId="56" fillId="0" borderId="0"/>
    <xf numFmtId="269" fontId="56" fillId="0" borderId="0"/>
    <xf numFmtId="269" fontId="56" fillId="0" borderId="0"/>
    <xf numFmtId="269" fontId="56" fillId="0" borderId="0"/>
    <xf numFmtId="0" fontId="139" fillId="0" borderId="0" applyNumberFormat="0" applyFill="0" applyProtection="0">
      <alignment horizontal="left"/>
    </xf>
    <xf numFmtId="0" fontId="140" fillId="0" borderId="0" applyFont="0">
      <alignment horizontal="centerContinuous"/>
    </xf>
    <xf numFmtId="269" fontId="56" fillId="0" borderId="0"/>
    <xf numFmtId="0" fontId="139" fillId="0" borderId="0" applyNumberFormat="0" applyFill="0" applyProtection="0">
      <alignment horizontal="left"/>
    </xf>
    <xf numFmtId="0" fontId="7" fillId="0" borderId="0" applyNumberFormat="0" applyFill="0" applyProtection="0">
      <alignment horizontal="left"/>
    </xf>
    <xf numFmtId="0" fontId="7" fillId="0" borderId="0" applyNumberFormat="0" applyFill="0" applyProtection="0">
      <alignment horizontal="left"/>
    </xf>
    <xf numFmtId="0" fontId="7" fillId="0" borderId="0" applyNumberFormat="0" applyFill="0" applyProtection="0">
      <alignment horizontal="left"/>
    </xf>
    <xf numFmtId="0" fontId="7" fillId="0" borderId="0" applyNumberFormat="0" applyFill="0" applyProtection="0">
      <alignment horizontal="left"/>
    </xf>
    <xf numFmtId="0" fontId="7" fillId="0" borderId="0" applyNumberFormat="0" applyFill="0" applyProtection="0">
      <alignment horizontal="left"/>
    </xf>
    <xf numFmtId="0" fontId="7" fillId="0" borderId="0" applyNumberFormat="0" applyFill="0" applyProtection="0">
      <alignment horizontal="left"/>
    </xf>
    <xf numFmtId="0" fontId="7" fillId="0" borderId="0" applyNumberFormat="0" applyFill="0" applyProtection="0">
      <alignment horizontal="left"/>
    </xf>
    <xf numFmtId="0" fontId="7" fillId="0" borderId="0" applyNumberFormat="0" applyFill="0" applyProtection="0">
      <alignment horizontal="left"/>
    </xf>
    <xf numFmtId="0" fontId="7" fillId="0" borderId="0" applyNumberFormat="0" applyFill="0" applyProtection="0">
      <alignment horizontal="left"/>
    </xf>
    <xf numFmtId="269" fontId="56" fillId="0" borderId="0"/>
    <xf numFmtId="269" fontId="56" fillId="0" borderId="0"/>
    <xf numFmtId="212" fontId="56" fillId="0" borderId="0"/>
    <xf numFmtId="212" fontId="56" fillId="0" borderId="0"/>
    <xf numFmtId="212" fontId="56" fillId="0" borderId="0"/>
    <xf numFmtId="212" fontId="56" fillId="0" borderId="0"/>
    <xf numFmtId="212" fontId="56" fillId="0" borderId="0"/>
    <xf numFmtId="212" fontId="56" fillId="0" borderId="0"/>
    <xf numFmtId="212" fontId="56" fillId="0" borderId="0"/>
    <xf numFmtId="212" fontId="56" fillId="0" borderId="0"/>
    <xf numFmtId="212" fontId="56" fillId="0" borderId="0"/>
    <xf numFmtId="212" fontId="7" fillId="0" borderId="0"/>
    <xf numFmtId="212" fontId="7" fillId="0" borderId="0"/>
    <xf numFmtId="212" fontId="7" fillId="0" borderId="0"/>
    <xf numFmtId="212" fontId="7" fillId="0" borderId="0"/>
    <xf numFmtId="212" fontId="7" fillId="0" borderId="0"/>
    <xf numFmtId="212" fontId="7" fillId="0" borderId="0"/>
    <xf numFmtId="212" fontId="7" fillId="0" borderId="0"/>
    <xf numFmtId="212" fontId="7" fillId="0" borderId="0"/>
    <xf numFmtId="212" fontId="7" fillId="0" borderId="0"/>
    <xf numFmtId="269" fontId="7" fillId="0" borderId="0"/>
    <xf numFmtId="269" fontId="7" fillId="0" borderId="0"/>
    <xf numFmtId="269" fontId="7" fillId="0" borderId="0"/>
    <xf numFmtId="269" fontId="7" fillId="0" borderId="0"/>
    <xf numFmtId="269" fontId="7" fillId="0" borderId="0"/>
    <xf numFmtId="269" fontId="7" fillId="0" borderId="0"/>
    <xf numFmtId="269" fontId="7" fillId="0" borderId="0"/>
    <xf numFmtId="269" fontId="7" fillId="0" borderId="0"/>
    <xf numFmtId="269" fontId="7" fillId="0" borderId="0"/>
    <xf numFmtId="0" fontId="139" fillId="0" borderId="0" applyNumberFormat="0" applyFill="0" applyProtection="0">
      <alignment horizontal="left"/>
    </xf>
    <xf numFmtId="0" fontId="7" fillId="0" borderId="0" applyNumberFormat="0" applyFill="0" applyProtection="0">
      <alignment horizontal="left"/>
    </xf>
    <xf numFmtId="0" fontId="7" fillId="0" borderId="0" applyNumberFormat="0" applyFill="0" applyProtection="0">
      <alignment horizontal="left"/>
    </xf>
    <xf numFmtId="0" fontId="7" fillId="0" borderId="0" applyNumberFormat="0" applyFill="0" applyProtection="0">
      <alignment horizontal="left"/>
    </xf>
    <xf numFmtId="0" fontId="7" fillId="0" borderId="0" applyNumberFormat="0" applyFill="0" applyProtection="0">
      <alignment horizontal="left"/>
    </xf>
    <xf numFmtId="0" fontId="7" fillId="0" borderId="0" applyNumberFormat="0" applyFill="0" applyProtection="0">
      <alignment horizontal="left"/>
    </xf>
    <xf numFmtId="0" fontId="7" fillId="0" borderId="0" applyNumberFormat="0" applyFill="0" applyProtection="0">
      <alignment horizontal="left"/>
    </xf>
    <xf numFmtId="0" fontId="7" fillId="0" borderId="0" applyNumberFormat="0" applyFill="0" applyProtection="0">
      <alignment horizontal="left"/>
    </xf>
    <xf numFmtId="0" fontId="7" fillId="0" borderId="0" applyNumberFormat="0" applyFill="0" applyProtection="0">
      <alignment horizontal="left"/>
    </xf>
    <xf numFmtId="0" fontId="7" fillId="0" borderId="0" applyNumberFormat="0" applyFill="0" applyProtection="0">
      <alignment horizontal="left"/>
    </xf>
    <xf numFmtId="0" fontId="109" fillId="0" borderId="39">
      <alignment horizontal="centerContinuous"/>
    </xf>
    <xf numFmtId="0" fontId="141" fillId="0" borderId="0">
      <alignment horizontal="centerContinuous"/>
    </xf>
    <xf numFmtId="270" fontId="119" fillId="0" borderId="0" applyFont="0" applyFill="0" applyBorder="0" applyAlignment="0" applyProtection="0">
      <alignment horizontal="right"/>
    </xf>
    <xf numFmtId="0" fontId="86" fillId="0" borderId="0" applyFont="0">
      <alignment horizontal="centerContinuous"/>
    </xf>
    <xf numFmtId="0" fontId="142" fillId="0" borderId="39" applyFont="0">
      <alignment horizontal="centerContinuous"/>
    </xf>
    <xf numFmtId="0" fontId="143" fillId="0" borderId="0" applyProtection="0">
      <alignment horizontal="right"/>
    </xf>
    <xf numFmtId="0" fontId="144" fillId="0" borderId="45" applyNumberFormat="0" applyAlignment="0" applyProtection="0">
      <alignment horizontal="left" vertical="center"/>
    </xf>
    <xf numFmtId="0" fontId="144" fillId="0" borderId="23">
      <alignment horizontal="left" vertical="center"/>
    </xf>
    <xf numFmtId="37" fontId="91" fillId="72" borderId="24">
      <alignment horizontal="center" vertical="center" wrapText="1"/>
    </xf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46" fillId="0" borderId="0" applyProtection="0">
      <alignment horizontal="left"/>
    </xf>
    <xf numFmtId="0" fontId="146" fillId="0" borderId="0" applyProtection="0">
      <alignment horizontal="left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02" fillId="0" borderId="0" applyFill="0" applyAlignment="0" applyProtection="0">
      <protection locked="0"/>
    </xf>
    <xf numFmtId="0" fontId="102" fillId="0" borderId="5" applyFill="0" applyAlignment="0" applyProtection="0">
      <protection locked="0"/>
    </xf>
    <xf numFmtId="14" fontId="91" fillId="72" borderId="39">
      <alignment horizontal="center" vertical="center" wrapText="1"/>
    </xf>
    <xf numFmtId="168" fontId="66" fillId="0" borderId="0">
      <protection locked="0"/>
    </xf>
    <xf numFmtId="0" fontId="7" fillId="0" borderId="46"/>
    <xf numFmtId="0" fontId="7" fillId="0" borderId="46"/>
    <xf numFmtId="168" fontId="66" fillId="0" borderId="0">
      <protection locked="0"/>
    </xf>
    <xf numFmtId="37" fontId="147" fillId="0" borderId="0" applyNumberFormat="0" applyFill="0" applyBorder="0" applyAlignment="0" applyProtection="0"/>
    <xf numFmtId="37" fontId="108" fillId="0" borderId="0" applyNumberFormat="0" applyFill="0" applyBorder="0" applyAlignment="0" applyProtection="0"/>
    <xf numFmtId="269" fontId="106" fillId="0" borderId="47" applyFont="0" applyFill="0" applyBorder="0" applyAlignment="0" applyProtection="0">
      <alignment vertical="center"/>
    </xf>
    <xf numFmtId="0" fontId="148" fillId="0" borderId="0" applyNumberFormat="0" applyFill="0" applyBorder="0" applyAlignment="0" applyProtection="0">
      <alignment vertical="top"/>
      <protection locked="0"/>
    </xf>
    <xf numFmtId="0" fontId="149" fillId="0" borderId="0" applyNumberFormat="0" applyFill="0" applyBorder="0" applyAlignment="0" applyProtection="0">
      <alignment vertical="top"/>
      <protection locked="0"/>
    </xf>
    <xf numFmtId="0" fontId="150" fillId="0" borderId="0" applyNumberFormat="0" applyFill="0" applyBorder="0" applyAlignment="0" applyProtection="0"/>
    <xf numFmtId="271" fontId="7" fillId="0" borderId="0" applyFont="0" applyFill="0" applyBorder="0" applyAlignment="0" applyProtection="0"/>
    <xf numFmtId="272" fontId="7" fillId="0" borderId="0" applyFont="0" applyFill="0" applyBorder="0" applyAlignment="0" applyProtection="0"/>
    <xf numFmtId="0" fontId="86" fillId="0" borderId="0">
      <alignment horizontal="center"/>
    </xf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2" fillId="0" borderId="0" applyNumberFormat="0" applyFill="0" applyBorder="0" applyAlignment="0" applyProtection="0">
      <alignment vertical="top"/>
      <protection locked="0"/>
    </xf>
    <xf numFmtId="0" fontId="153" fillId="0" borderId="0" applyNumberFormat="0" applyFill="0" applyBorder="0" applyAlignment="0" applyProtection="0"/>
    <xf numFmtId="0" fontId="106" fillId="0" borderId="0" applyFont="0" applyBorder="0" applyAlignment="0"/>
    <xf numFmtId="0" fontId="154" fillId="0" borderId="0"/>
    <xf numFmtId="4" fontId="7" fillId="73" borderId="0"/>
    <xf numFmtId="0" fontId="155" fillId="8" borderId="0" applyNumberFormat="0" applyFont="0" applyBorder="0" applyAlignment="0">
      <protection locked="0"/>
    </xf>
    <xf numFmtId="172" fontId="156" fillId="0" borderId="27" applyFill="0" applyBorder="0" applyAlignment="0">
      <alignment horizontal="center"/>
      <protection locked="0"/>
    </xf>
    <xf numFmtId="10" fontId="51" fillId="61" borderId="21" applyNumberFormat="0" applyBorder="0" applyAlignment="0" applyProtection="0"/>
    <xf numFmtId="10" fontId="51" fillId="61" borderId="21" applyNumberFormat="0" applyBorder="0" applyAlignment="0" applyProtection="0"/>
    <xf numFmtId="10" fontId="51" fillId="61" borderId="21" applyNumberFormat="0" applyBorder="0" applyAlignment="0" applyProtection="0"/>
    <xf numFmtId="189" fontId="156" fillId="0" borderId="0" applyFill="0" applyBorder="0" applyAlignment="0">
      <protection locked="0"/>
    </xf>
    <xf numFmtId="0" fontId="155" fillId="8" borderId="0" applyNumberFormat="0" applyFont="0" applyBorder="0" applyAlignment="0">
      <protection locked="0"/>
    </xf>
    <xf numFmtId="219" fontId="156" fillId="0" borderId="0" applyFill="0" applyBorder="0" applyAlignment="0" applyProtection="0">
      <protection locked="0"/>
    </xf>
    <xf numFmtId="0" fontId="155" fillId="8" borderId="0" applyNumberFormat="0" applyFont="0" applyBorder="0" applyAlignment="0">
      <protection locked="0"/>
    </xf>
    <xf numFmtId="0" fontId="155" fillId="8" borderId="0" applyNumberFormat="0" applyFont="0" applyBorder="0" applyAlignment="0">
      <protection locked="0"/>
    </xf>
    <xf numFmtId="166" fontId="51" fillId="0" borderId="0"/>
    <xf numFmtId="166" fontId="51" fillId="0" borderId="0"/>
    <xf numFmtId="166" fontId="51" fillId="0" borderId="0"/>
    <xf numFmtId="256" fontId="7" fillId="61" borderId="0" applyFont="0" applyBorder="0" applyAlignment="0" applyProtection="0">
      <protection locked="0"/>
    </xf>
    <xf numFmtId="256" fontId="7" fillId="61" borderId="0" applyFont="0" applyBorder="0" applyAlignment="0" applyProtection="0">
      <protection locked="0"/>
    </xf>
    <xf numFmtId="268" fontId="7" fillId="61" borderId="0" applyFont="0" applyBorder="0" applyAlignment="0">
      <protection locked="0"/>
    </xf>
    <xf numFmtId="268" fontId="7" fillId="61" borderId="0" applyFont="0" applyBorder="0" applyAlignment="0">
      <protection locked="0"/>
    </xf>
    <xf numFmtId="226" fontId="51" fillId="0" borderId="0"/>
    <xf numFmtId="226" fontId="51" fillId="0" borderId="0"/>
    <xf numFmtId="226" fontId="51" fillId="0" borderId="0"/>
    <xf numFmtId="3" fontId="7" fillId="0" borderId="48">
      <alignment horizontal="right"/>
      <protection locked="0"/>
    </xf>
    <xf numFmtId="273" fontId="7" fillId="0" borderId="0"/>
    <xf numFmtId="10" fontId="51" fillId="61" borderId="0">
      <protection locked="0"/>
    </xf>
    <xf numFmtId="10" fontId="51" fillId="61" borderId="0">
      <protection locked="0"/>
    </xf>
    <xf numFmtId="10" fontId="51" fillId="61" borderId="0">
      <protection locked="0"/>
    </xf>
    <xf numFmtId="273" fontId="7" fillId="0" borderId="0"/>
    <xf numFmtId="273" fontId="7" fillId="0" borderId="0"/>
    <xf numFmtId="3" fontId="7" fillId="0" borderId="48">
      <alignment horizontal="left"/>
      <protection locked="0"/>
    </xf>
    <xf numFmtId="226" fontId="7" fillId="61" borderId="0" applyNumberFormat="0" applyBorder="0" applyAlignment="0">
      <protection locked="0"/>
    </xf>
    <xf numFmtId="226" fontId="7" fillId="61" borderId="0" applyNumberFormat="0" applyBorder="0" applyAlignment="0">
      <protection locked="0"/>
    </xf>
    <xf numFmtId="274" fontId="157" fillId="0" borderId="49" applyFill="0" applyBorder="0" applyAlignment="0" applyProtection="0"/>
    <xf numFmtId="0" fontId="65" fillId="0" borderId="0" applyNumberFormat="0" applyFill="0" applyBorder="0" applyAlignment="0">
      <protection locked="0"/>
    </xf>
    <xf numFmtId="0" fontId="94" fillId="0" borderId="0" applyNumberFormat="0" applyFill="0" applyBorder="0" applyAlignment="0"/>
    <xf numFmtId="9" fontId="58" fillId="74" borderId="21" applyProtection="0">
      <alignment horizontal="right"/>
      <protection locked="0"/>
    </xf>
    <xf numFmtId="275" fontId="158" fillId="0" borderId="0" applyFill="0" applyBorder="0" applyProtection="0">
      <protection locked="0"/>
    </xf>
    <xf numFmtId="0" fontId="133" fillId="0" borderId="0"/>
    <xf numFmtId="276" fontId="89" fillId="0" borderId="0" applyFont="0" applyFill="0" applyBorder="0" applyAlignment="0" applyProtection="0"/>
    <xf numFmtId="276" fontId="7" fillId="0" borderId="0" applyFont="0" applyFill="0" applyBorder="0" applyAlignment="0" applyProtection="0"/>
    <xf numFmtId="277" fontId="7" fillId="0" borderId="0" applyFill="0" applyBorder="0">
      <alignment horizontal="right"/>
      <protection locked="0"/>
    </xf>
    <xf numFmtId="0" fontId="91" fillId="57" borderId="50">
      <alignment horizontal="left" vertical="center" wrapText="1"/>
    </xf>
    <xf numFmtId="0" fontId="159" fillId="0" borderId="0" applyNumberFormat="0" applyFill="0" applyBorder="0" applyAlignment="0" applyProtection="0">
      <alignment vertical="top"/>
      <protection locked="0"/>
    </xf>
    <xf numFmtId="3" fontId="160" fillId="0" borderId="0"/>
    <xf numFmtId="3" fontId="161" fillId="61" borderId="23">
      <alignment horizontal="left" vertical="center"/>
    </xf>
    <xf numFmtId="236" fontId="7" fillId="0" borderId="0" applyFill="0" applyBorder="0" applyAlignment="0"/>
    <xf numFmtId="232" fontId="7" fillId="0" borderId="0" applyFill="0" applyBorder="0" applyAlignment="0"/>
    <xf numFmtId="236" fontId="7" fillId="0" borderId="0" applyFill="0" applyBorder="0" applyAlignment="0"/>
    <xf numFmtId="237" fontId="7" fillId="0" borderId="0" applyFill="0" applyBorder="0" applyAlignment="0"/>
    <xf numFmtId="232" fontId="7" fillId="0" borderId="0" applyFill="0" applyBorder="0" applyAlignment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162" fillId="0" borderId="39">
      <alignment horizontal="left"/>
    </xf>
    <xf numFmtId="0" fontId="163" fillId="0" borderId="0">
      <alignment horizontal="left"/>
    </xf>
    <xf numFmtId="278" fontId="66" fillId="0" borderId="0"/>
    <xf numFmtId="278" fontId="66" fillId="0" borderId="0"/>
    <xf numFmtId="0" fontId="164" fillId="0" borderId="26">
      <alignment horizontal="left"/>
      <protection locked="0"/>
    </xf>
    <xf numFmtId="0" fontId="127" fillId="0" borderId="0" applyFill="0" applyBorder="0" applyAlignment="0" applyProtection="0"/>
    <xf numFmtId="238" fontId="165" fillId="56" borderId="27" applyNumberFormat="0" applyFont="0" applyBorder="0" applyAlignment="0">
      <alignment horizontal="center"/>
    </xf>
    <xf numFmtId="3" fontId="166" fillId="56" borderId="25">
      <alignment horizontal="center"/>
    </xf>
    <xf numFmtId="0" fontId="7" fillId="0" borderId="0" applyBorder="0"/>
    <xf numFmtId="0" fontId="7" fillId="0" borderId="0" applyBorder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31" fillId="0" borderId="0">
      <protection locked="0"/>
    </xf>
    <xf numFmtId="279" fontId="7" fillId="0" borderId="0" applyFont="0" applyFill="0" applyBorder="0" applyAlignment="0" applyProtection="0"/>
    <xf numFmtId="189" fontId="7" fillId="0" borderId="0" applyNumberFormat="0" applyFill="0" applyBorder="0" applyAlignment="0" applyProtection="0"/>
    <xf numFmtId="3" fontId="140" fillId="55" borderId="5">
      <alignment horizontal="center"/>
    </xf>
    <xf numFmtId="0" fontId="167" fillId="0" borderId="0">
      <alignment horizontal="centerContinuous"/>
    </xf>
    <xf numFmtId="245" fontId="56" fillId="0" borderId="0" applyFill="0" applyBorder="0" applyProtection="0">
      <alignment horizontal="center"/>
    </xf>
    <xf numFmtId="280" fontId="56" fillId="0" borderId="0" applyFont="0" applyFill="0" applyBorder="0" applyAlignment="0" applyProtection="0">
      <alignment horizontal="centerContinuous"/>
      <protection locked="0"/>
    </xf>
    <xf numFmtId="281" fontId="168" fillId="0" borderId="0"/>
    <xf numFmtId="281" fontId="7" fillId="0" borderId="0"/>
    <xf numFmtId="281" fontId="7" fillId="0" borderId="0"/>
    <xf numFmtId="281" fontId="7" fillId="0" borderId="0"/>
    <xf numFmtId="281" fontId="7" fillId="0" borderId="0"/>
    <xf numFmtId="281" fontId="7" fillId="0" borderId="0"/>
    <xf numFmtId="281" fontId="7" fillId="0" borderId="0"/>
    <xf numFmtId="281" fontId="7" fillId="0" borderId="0"/>
    <xf numFmtId="281" fontId="7" fillId="0" borderId="0"/>
    <xf numFmtId="281" fontId="7" fillId="0" borderId="0"/>
    <xf numFmtId="171" fontId="56" fillId="0" borderId="0"/>
    <xf numFmtId="0" fontId="56" fillId="0" borderId="0"/>
    <xf numFmtId="170" fontId="56" fillId="0" borderId="0"/>
    <xf numFmtId="282" fontId="7" fillId="56" borderId="0" applyFont="0" applyBorder="0" applyAlignment="0" applyProtection="0">
      <alignment horizontal="right"/>
      <protection hidden="1"/>
    </xf>
    <xf numFmtId="282" fontId="7" fillId="56" borderId="0" applyFont="0" applyBorder="0" applyAlignment="0" applyProtection="0">
      <alignment horizontal="right"/>
      <protection hidden="1"/>
    </xf>
    <xf numFmtId="0" fontId="169" fillId="0" borderId="51">
      <protection locked="0" hidden="1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111" fillId="0" borderId="0">
      <alignment horizontal="left"/>
    </xf>
    <xf numFmtId="37" fontId="170" fillId="0" borderId="0"/>
    <xf numFmtId="37" fontId="73" fillId="0" borderId="0">
      <alignment horizontal="right"/>
    </xf>
    <xf numFmtId="204" fontId="106" fillId="0" borderId="52" applyFill="0" applyBorder="0">
      <alignment vertical="center"/>
    </xf>
    <xf numFmtId="283" fontId="171" fillId="0" borderId="0"/>
    <xf numFmtId="284" fontId="7" fillId="0" borderId="0"/>
    <xf numFmtId="204" fontId="56" fillId="0" borderId="0" applyFill="0" applyBorder="0">
      <alignment vertical="center"/>
    </xf>
    <xf numFmtId="38" fontId="51" fillId="0" borderId="0" applyFont="0" applyFill="0" applyBorder="0" applyAlignment="0"/>
    <xf numFmtId="38" fontId="51" fillId="0" borderId="0" applyFont="0" applyFill="0" applyBorder="0" applyAlignment="0"/>
    <xf numFmtId="226" fontId="7" fillId="0" borderId="0" applyFont="0" applyFill="0" applyBorder="0" applyAlignment="0"/>
    <xf numFmtId="226" fontId="7" fillId="0" borderId="0" applyFont="0" applyFill="0" applyBorder="0" applyAlignment="0"/>
    <xf numFmtId="40" fontId="51" fillId="0" borderId="0" applyFont="0" applyFill="0" applyBorder="0" applyAlignment="0"/>
    <xf numFmtId="40" fontId="51" fillId="0" borderId="0" applyFont="0" applyFill="0" applyBorder="0" applyAlignment="0"/>
    <xf numFmtId="273" fontId="51" fillId="0" borderId="0" applyFont="0" applyFill="0" applyBorder="0" applyAlignment="0"/>
    <xf numFmtId="273" fontId="51" fillId="0" borderId="0" applyFont="0" applyFill="0" applyBorder="0" applyAlignment="0"/>
    <xf numFmtId="0" fontId="51" fillId="0" borderId="0"/>
    <xf numFmtId="226" fontId="172" fillId="0" borderId="0" applyFill="0" applyBorder="0" applyAlignment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51" fillId="0" borderId="0"/>
    <xf numFmtId="0" fontId="7" fillId="0" borderId="0"/>
    <xf numFmtId="0" fontId="173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1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9" fillId="0" borderId="0"/>
    <xf numFmtId="0" fontId="7" fillId="0" borderId="0"/>
    <xf numFmtId="0" fontId="9" fillId="0" borderId="0"/>
    <xf numFmtId="0" fontId="4" fillId="0" borderId="0"/>
    <xf numFmtId="0" fontId="4" fillId="0" borderId="0"/>
    <xf numFmtId="0" fontId="7" fillId="0" borderId="0"/>
    <xf numFmtId="0" fontId="49" fillId="0" borderId="0"/>
    <xf numFmtId="0" fontId="49" fillId="0" borderId="0"/>
    <xf numFmtId="0" fontId="5" fillId="0" borderId="0"/>
    <xf numFmtId="0" fontId="5" fillId="0" borderId="0"/>
    <xf numFmtId="0" fontId="7" fillId="0" borderId="0"/>
    <xf numFmtId="0" fontId="9" fillId="0" borderId="0"/>
    <xf numFmtId="0" fontId="51" fillId="0" borderId="0"/>
    <xf numFmtId="0" fontId="9" fillId="0" borderId="0"/>
    <xf numFmtId="0" fontId="174" fillId="0" borderId="0"/>
    <xf numFmtId="0" fontId="7" fillId="0" borderId="0"/>
    <xf numFmtId="226" fontId="52" fillId="0" borderId="0" applyNumberFormat="0" applyFill="0" applyBorder="0" applyAlignment="0" applyProtection="0"/>
    <xf numFmtId="226" fontId="52" fillId="0" borderId="0" applyNumberFormat="0" applyFill="0" applyBorder="0" applyAlignment="0" applyProtection="0"/>
    <xf numFmtId="285" fontId="7" fillId="0" borderId="0" applyFont="0" applyFill="0" applyBorder="0" applyAlignment="0" applyProtection="0"/>
    <xf numFmtId="285" fontId="7" fillId="0" borderId="0" applyFont="0" applyFill="0" applyBorder="0" applyAlignment="0" applyProtection="0"/>
    <xf numFmtId="189" fontId="7" fillId="0" borderId="0" applyBorder="0" applyAlignment="0">
      <alignment horizontal="centerContinuous"/>
    </xf>
    <xf numFmtId="189" fontId="7" fillId="0" borderId="0" applyFont="0" applyFill="0" applyBorder="0" applyAlignment="0" applyProtection="0"/>
    <xf numFmtId="0" fontId="175" fillId="0" borderId="0"/>
    <xf numFmtId="0" fontId="7" fillId="0" borderId="0">
      <alignment horizontal="left" indent="1"/>
    </xf>
    <xf numFmtId="0" fontId="7" fillId="0" borderId="0"/>
    <xf numFmtId="40" fontId="52" fillId="0" borderId="0">
      <alignment horizontal="left"/>
    </xf>
    <xf numFmtId="40" fontId="52" fillId="0" borderId="0">
      <alignment horizontal="left"/>
    </xf>
    <xf numFmtId="0" fontId="57" fillId="0" borderId="0"/>
    <xf numFmtId="0" fontId="17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89" fontId="179" fillId="0" borderId="0">
      <protection locked="0"/>
    </xf>
    <xf numFmtId="0" fontId="180" fillId="0" borderId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286" fontId="7" fillId="0" borderId="0" applyFont="0" applyFill="0" applyBorder="0" applyAlignment="0" applyProtection="0"/>
    <xf numFmtId="286" fontId="7" fillId="0" borderId="0" applyFont="0" applyFill="0" applyBorder="0" applyAlignment="0" applyProtection="0"/>
    <xf numFmtId="37" fontId="55" fillId="0" borderId="0"/>
    <xf numFmtId="171" fontId="94" fillId="0" borderId="0">
      <protection locked="0"/>
    </xf>
    <xf numFmtId="240" fontId="94" fillId="0" borderId="0">
      <protection locked="0"/>
    </xf>
    <xf numFmtId="0" fontId="94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87" fontId="56" fillId="0" borderId="0">
      <protection locked="0"/>
    </xf>
    <xf numFmtId="170" fontId="94" fillId="0" borderId="0">
      <protection locked="0"/>
    </xf>
    <xf numFmtId="170" fontId="7" fillId="0" borderId="0">
      <protection locked="0"/>
    </xf>
    <xf numFmtId="219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170" fontId="58" fillId="0" borderId="0" applyFont="0" applyFill="0" applyBorder="0" applyAlignment="0" applyProtection="0"/>
    <xf numFmtId="168" fontId="58" fillId="0" borderId="0" applyFont="0" applyFill="0" applyBorder="0" applyAlignment="0" applyProtection="0"/>
    <xf numFmtId="0" fontId="181" fillId="0" borderId="0">
      <alignment horizontal="left"/>
    </xf>
    <xf numFmtId="0" fontId="22" fillId="16" borderId="6" applyNumberFormat="0" applyAlignment="0" applyProtection="0"/>
    <xf numFmtId="0" fontId="22" fillId="16" borderId="6" applyNumberFormat="0" applyAlignment="0" applyProtection="0"/>
    <xf numFmtId="40" fontId="182" fillId="62" borderId="0">
      <alignment horizontal="right"/>
    </xf>
    <xf numFmtId="0" fontId="183" fillId="62" borderId="0">
      <alignment horizontal="right"/>
    </xf>
    <xf numFmtId="0" fontId="58" fillId="0" borderId="0" applyProtection="0"/>
    <xf numFmtId="0" fontId="184" fillId="62" borderId="53"/>
    <xf numFmtId="0" fontId="184" fillId="0" borderId="0" applyBorder="0">
      <alignment horizontal="centerContinuous"/>
    </xf>
    <xf numFmtId="0" fontId="185" fillId="0" borderId="0" applyBorder="0">
      <alignment horizontal="centerContinuous"/>
    </xf>
    <xf numFmtId="0" fontId="22" fillId="16" borderId="6" applyNumberFormat="0" applyAlignment="0" applyProtection="0"/>
    <xf numFmtId="0" fontId="56" fillId="75" borderId="0" applyNumberFormat="0" applyFont="0" applyBorder="0" applyAlignment="0"/>
    <xf numFmtId="287" fontId="56" fillId="0" borderId="0"/>
    <xf numFmtId="1" fontId="186" fillId="0" borderId="0" applyProtection="0">
      <alignment horizontal="right" vertical="center"/>
    </xf>
    <xf numFmtId="288" fontId="121" fillId="0" borderId="0" applyFont="0" applyFill="0" applyBorder="0" applyAlignment="0" applyProtection="0"/>
    <xf numFmtId="289" fontId="89" fillId="0" borderId="0" applyFont="0" applyFill="0" applyBorder="0" applyAlignment="0" applyProtection="0"/>
    <xf numFmtId="290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9" fontId="98" fillId="0" borderId="0" applyFont="0" applyFill="0" applyBorder="0" applyAlignment="0" applyProtection="0"/>
    <xf numFmtId="291" fontId="7" fillId="0" borderId="0" applyFont="0" applyFill="0" applyBorder="0" applyAlignment="0"/>
    <xf numFmtId="292" fontId="7" fillId="0" borderId="0" applyFont="0" applyFill="0" applyBorder="0" applyAlignment="0" applyProtection="0"/>
    <xf numFmtId="0" fontId="187" fillId="0" borderId="0" applyFont="0" applyFill="0" applyBorder="0" applyAlignment="0" applyProtection="0"/>
    <xf numFmtId="277" fontId="7" fillId="0" borderId="0" applyFont="0" applyFill="0" applyBorder="0" applyAlignment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293" fontId="121" fillId="0" borderId="0" applyFont="0" applyFill="0" applyBorder="0" applyAlignment="0" applyProtection="0"/>
    <xf numFmtId="294" fontId="89" fillId="0" borderId="0" applyFont="0" applyFill="0" applyBorder="0" applyAlignment="0" applyProtection="0"/>
    <xf numFmtId="295" fontId="7" fillId="0" borderId="0" applyFont="0" applyFill="0" applyBorder="0" applyAlignment="0" applyProtection="0"/>
    <xf numFmtId="296" fontId="121" fillId="0" borderId="0" applyFont="0" applyFill="0" applyBorder="0" applyAlignment="0" applyProtection="0"/>
    <xf numFmtId="297" fontId="89" fillId="0" borderId="0" applyFont="0" applyFill="0" applyBorder="0" applyAlignment="0" applyProtection="0"/>
    <xf numFmtId="298" fontId="7" fillId="0" borderId="0" applyFont="0" applyFill="0" applyBorder="0" applyAlignment="0" applyProtection="0"/>
    <xf numFmtId="299" fontId="121" fillId="0" borderId="0" applyFont="0" applyFill="0" applyBorder="0" applyAlignment="0" applyProtection="0"/>
    <xf numFmtId="300" fontId="89" fillId="0" borderId="0" applyFont="0" applyFill="0" applyBorder="0" applyAlignment="0" applyProtection="0"/>
    <xf numFmtId="301" fontId="7" fillId="0" borderId="0" applyFont="0" applyFill="0" applyBorder="0" applyAlignment="0" applyProtection="0"/>
    <xf numFmtId="302" fontId="122" fillId="0" borderId="0" applyFont="0" applyFill="0" applyBorder="0" applyAlignment="0" applyProtection="0"/>
    <xf numFmtId="303" fontId="122" fillId="0" borderId="0" applyFont="0" applyFill="0" applyBorder="0" applyAlignment="0" applyProtection="0"/>
    <xf numFmtId="10" fontId="55" fillId="0" borderId="0">
      <alignment horizontal="right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304" fontId="7" fillId="0" borderId="21" applyFont="0" applyFill="0" applyBorder="0" applyAlignment="0" applyProtection="0"/>
    <xf numFmtId="0" fontId="188" fillId="0" borderId="0" applyFont="0" applyFill="0" applyBorder="0" applyAlignment="0" applyProtection="0"/>
    <xf numFmtId="225" fontId="7" fillId="0" borderId="21" applyFont="0" applyFill="0" applyBorder="0" applyAlignment="0" applyProtection="0"/>
    <xf numFmtId="305" fontId="7" fillId="0" borderId="0" applyFill="0" applyBorder="0">
      <alignment horizontal="right"/>
      <protection locked="0"/>
    </xf>
    <xf numFmtId="9" fontId="189" fillId="0" borderId="0" applyFont="0" applyFill="0" applyBorder="0" applyAlignment="0" applyProtection="0"/>
    <xf numFmtId="306" fontId="7" fillId="0" borderId="0" applyFont="0" applyFill="0" applyBorder="0" applyAlignment="0" applyProtection="0"/>
    <xf numFmtId="306" fontId="7" fillId="0" borderId="0" applyFont="0" applyFill="0" applyBorder="0" applyAlignment="0" applyProtection="0"/>
    <xf numFmtId="10" fontId="55" fillId="0" borderId="0"/>
    <xf numFmtId="10" fontId="160" fillId="0" borderId="37"/>
    <xf numFmtId="307" fontId="168" fillId="0" borderId="0" applyFill="0" applyBorder="0" applyAlignment="0">
      <alignment horizontal="left"/>
    </xf>
    <xf numFmtId="308" fontId="168" fillId="0" borderId="0" applyBorder="0" applyAlignment="0">
      <alignment horizontal="right"/>
    </xf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7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1" fillId="0" borderId="0">
      <protection locked="0"/>
    </xf>
    <xf numFmtId="0" fontId="190" fillId="0" borderId="0" applyFont="0" applyFill="0" applyBorder="0" applyAlignment="0" applyProtection="0">
      <alignment horizontal="center"/>
    </xf>
    <xf numFmtId="0" fontId="190" fillId="0" borderId="0" applyFont="0" applyFill="0" applyBorder="0" applyAlignment="0" applyProtection="0">
      <alignment horizontal="center"/>
    </xf>
    <xf numFmtId="0" fontId="190" fillId="0" borderId="0" applyFont="0" applyFill="0" applyBorder="0" applyAlignment="0" applyProtection="0">
      <alignment horizontal="center"/>
    </xf>
    <xf numFmtId="236" fontId="7" fillId="0" borderId="0" applyFill="0" applyBorder="0" applyAlignment="0"/>
    <xf numFmtId="232" fontId="7" fillId="0" borderId="0" applyFill="0" applyBorder="0" applyAlignment="0"/>
    <xf numFmtId="236" fontId="7" fillId="0" borderId="0" applyFill="0" applyBorder="0" applyAlignment="0"/>
    <xf numFmtId="237" fontId="7" fillId="0" borderId="0" applyFill="0" applyBorder="0" applyAlignment="0"/>
    <xf numFmtId="232" fontId="7" fillId="0" borderId="0" applyFill="0" applyBorder="0" applyAlignment="0"/>
    <xf numFmtId="3" fontId="51" fillId="0" borderId="0">
      <alignment horizontal="right"/>
    </xf>
    <xf numFmtId="165" fontId="7" fillId="0" borderId="0" applyFont="0" applyFill="0" applyBorder="0" applyAlignment="0" applyProtection="0"/>
    <xf numFmtId="3" fontId="160" fillId="56" borderId="0"/>
    <xf numFmtId="14" fontId="70" fillId="76" borderId="54" applyNumberFormat="0" applyFont="0" applyBorder="0" applyAlignment="0" applyProtection="0">
      <alignment horizontal="center" vertical="center"/>
    </xf>
    <xf numFmtId="0" fontId="72" fillId="0" borderId="0" applyNumberFormat="0" applyFont="0" applyFill="0" applyBorder="0" applyAlignment="0" applyProtection="0">
      <alignment horizontal="left"/>
    </xf>
    <xf numFmtId="15" fontId="72" fillId="0" borderId="0" applyFont="0" applyFill="0" applyBorder="0" applyAlignment="0" applyProtection="0"/>
    <xf numFmtId="4" fontId="72" fillId="0" borderId="0" applyFont="0" applyFill="0" applyBorder="0" applyAlignment="0" applyProtection="0"/>
    <xf numFmtId="0" fontId="191" fillId="0" borderId="39">
      <alignment horizontal="center"/>
    </xf>
    <xf numFmtId="0" fontId="7" fillId="0" borderId="39">
      <alignment horizontal="center"/>
    </xf>
    <xf numFmtId="3" fontId="72" fillId="0" borderId="0" applyFont="0" applyFill="0" applyBorder="0" applyAlignment="0" applyProtection="0"/>
    <xf numFmtId="0" fontId="72" fillId="67" borderId="0" applyNumberFormat="0" applyFont="0" applyBorder="0" applyAlignment="0" applyProtection="0"/>
    <xf numFmtId="0" fontId="192" fillId="0" borderId="0">
      <alignment horizontal="centerContinuous"/>
    </xf>
    <xf numFmtId="3" fontId="193" fillId="0" borderId="0" applyFont="0" applyFill="0" applyBorder="0" applyAlignment="0" applyProtection="0"/>
    <xf numFmtId="0" fontId="124" fillId="0" borderId="0"/>
    <xf numFmtId="3" fontId="160" fillId="0" borderId="37"/>
    <xf numFmtId="3" fontId="194" fillId="0" borderId="37"/>
    <xf numFmtId="3" fontId="194" fillId="0" borderId="55"/>
    <xf numFmtId="171" fontId="195" fillId="0" borderId="0"/>
    <xf numFmtId="309" fontId="7" fillId="0" borderId="0">
      <alignment horizontal="right"/>
      <protection locked="0"/>
    </xf>
    <xf numFmtId="37" fontId="158" fillId="0" borderId="0" applyNumberFormat="0" applyFill="0" applyBorder="0" applyAlignment="0" applyProtection="0"/>
    <xf numFmtId="226" fontId="7" fillId="0" borderId="0" applyNumberFormat="0" applyFill="0" applyBorder="0" applyAlignment="0" applyProtection="0">
      <alignment horizontal="left"/>
    </xf>
    <xf numFmtId="226" fontId="7" fillId="0" borderId="0" applyNumberFormat="0" applyFill="0" applyBorder="0" applyAlignment="0" applyProtection="0">
      <alignment horizontal="left"/>
    </xf>
    <xf numFmtId="0" fontId="196" fillId="0" borderId="26" applyNumberFormat="0" applyFill="0" applyBorder="0" applyAlignment="0" applyProtection="0">
      <protection hidden="1"/>
    </xf>
    <xf numFmtId="189" fontId="7" fillId="77" borderId="0" applyFill="0" applyBorder="0" applyAlignment="0" applyProtection="0"/>
    <xf numFmtId="0" fontId="56" fillId="0" borderId="0">
      <alignment horizontal="right"/>
    </xf>
    <xf numFmtId="0" fontId="197" fillId="0" borderId="0" applyNumberFormat="0" applyFill="0" applyBorder="0" applyProtection="0">
      <alignment horizontal="right" vertical="center"/>
    </xf>
    <xf numFmtId="38" fontId="198" fillId="0" borderId="0"/>
    <xf numFmtId="0" fontId="51" fillId="0" borderId="0">
      <alignment horizontal="right"/>
    </xf>
    <xf numFmtId="0" fontId="51" fillId="0" borderId="0">
      <alignment horizontal="right"/>
    </xf>
    <xf numFmtId="3" fontId="144" fillId="63" borderId="33">
      <alignment horizontal="center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58" fillId="0" borderId="0">
      <alignment horizontal="center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7" fillId="0" borderId="31">
      <protection locked="0"/>
    </xf>
    <xf numFmtId="0" fontId="7" fillId="0" borderId="31">
      <protection locked="0"/>
    </xf>
    <xf numFmtId="0" fontId="7" fillId="0" borderId="31">
      <protection locked="0"/>
    </xf>
    <xf numFmtId="0" fontId="7" fillId="0" borderId="31">
      <protection locked="0"/>
    </xf>
    <xf numFmtId="0" fontId="7" fillId="0" borderId="31">
      <protection locked="0"/>
    </xf>
    <xf numFmtId="0" fontId="7" fillId="0" borderId="31">
      <protection locked="0"/>
    </xf>
    <xf numFmtId="0" fontId="7" fillId="0" borderId="31">
      <protection locked="0"/>
    </xf>
    <xf numFmtId="0" fontId="7" fillId="0" borderId="31">
      <protection locked="0"/>
    </xf>
    <xf numFmtId="0" fontId="7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89" fontId="155" fillId="0" borderId="0"/>
    <xf numFmtId="189" fontId="155" fillId="0" borderId="0"/>
    <xf numFmtId="189" fontId="155" fillId="0" borderId="0"/>
    <xf numFmtId="189" fontId="7" fillId="0" borderId="0"/>
    <xf numFmtId="189" fontId="7" fillId="0" borderId="0"/>
    <xf numFmtId="189" fontId="7" fillId="0" borderId="0"/>
    <xf numFmtId="189" fontId="7" fillId="0" borderId="0"/>
    <xf numFmtId="189" fontId="7" fillId="0" borderId="0"/>
    <xf numFmtId="189" fontId="7" fillId="0" borderId="0"/>
    <xf numFmtId="189" fontId="7" fillId="0" borderId="0"/>
    <xf numFmtId="189" fontId="7" fillId="0" borderId="0"/>
    <xf numFmtId="189" fontId="7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protection locked="0"/>
    </xf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0"/>
    <xf numFmtId="0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alignment horizontal="centerContinuous"/>
    </xf>
    <xf numFmtId="0" fontId="66" fillId="0" borderId="0">
      <alignment horizontal="center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31">
      <alignment horizontal="centerContinuous"/>
    </xf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66" fillId="0" borderId="0">
      <alignment horizontal="center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189" fontId="155" fillId="0" borderId="0"/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53" fillId="0" borderId="31">
      <alignment horizontal="centerContinuous"/>
    </xf>
    <xf numFmtId="0" fontId="53" fillId="0" borderId="31">
      <alignment horizontal="centerContinuous"/>
    </xf>
    <xf numFmtId="0" fontId="53" fillId="0" borderId="31">
      <alignment horizontal="centerContinuous"/>
    </xf>
    <xf numFmtId="0" fontId="53" fillId="0" borderId="31">
      <alignment horizontal="centerContinuous"/>
    </xf>
    <xf numFmtId="0" fontId="53" fillId="0" borderId="31">
      <alignment horizontal="centerContinuous"/>
    </xf>
    <xf numFmtId="0" fontId="53" fillId="0" borderId="31">
      <alignment horizontal="centerContinuous"/>
    </xf>
    <xf numFmtId="0" fontId="53" fillId="0" borderId="31">
      <alignment horizontal="centerContinuous"/>
    </xf>
    <xf numFmtId="0" fontId="53" fillId="0" borderId="31">
      <alignment horizontal="centerContinuous"/>
    </xf>
    <xf numFmtId="0" fontId="53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3" fontId="199" fillId="55" borderId="0">
      <alignment horizontal="left"/>
    </xf>
    <xf numFmtId="0" fontId="200" fillId="0" borderId="56">
      <alignment vertical="center"/>
    </xf>
    <xf numFmtId="310" fontId="7" fillId="0" borderId="0" applyFill="0" applyBorder="0">
      <alignment horizontal="right"/>
      <protection hidden="1"/>
    </xf>
    <xf numFmtId="0" fontId="201" fillId="68" borderId="21">
      <alignment horizontal="center" vertical="center" wrapText="1"/>
      <protection hidden="1"/>
    </xf>
    <xf numFmtId="38" fontId="72" fillId="0" borderId="0" applyFont="0" applyFill="0" applyBorder="0" applyAlignment="0" applyProtection="0"/>
    <xf numFmtId="311" fontId="7" fillId="0" borderId="0">
      <protection locked="0"/>
    </xf>
    <xf numFmtId="168" fontId="9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5" fillId="0" borderId="0" applyFont="0" applyFill="0" applyBorder="0" applyAlignment="0" applyProtection="0"/>
    <xf numFmtId="184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51" fillId="0" borderId="0" applyFont="0" applyFill="0" applyBorder="0" applyAlignment="0" applyProtection="0"/>
    <xf numFmtId="226" fontId="89" fillId="1" borderId="0" applyNumberFormat="0" applyFont="0" applyBorder="0" applyAlignment="0" applyProtection="0"/>
    <xf numFmtId="226" fontId="7" fillId="1" borderId="0" applyNumberFormat="0" applyFont="0" applyBorder="0" applyAlignment="0" applyProtection="0"/>
    <xf numFmtId="0" fontId="179" fillId="78" borderId="0" applyNumberFormat="0" applyFont="0" applyBorder="0" applyAlignment="0" applyProtection="0"/>
    <xf numFmtId="171" fontId="56" fillId="0" borderId="40"/>
    <xf numFmtId="0" fontId="56" fillId="0" borderId="40"/>
    <xf numFmtId="170" fontId="56" fillId="0" borderId="40"/>
    <xf numFmtId="172" fontId="202" fillId="0" borderId="31"/>
    <xf numFmtId="3" fontId="84" fillId="55" borderId="0">
      <alignment horizontal="left"/>
    </xf>
    <xf numFmtId="0" fontId="58" fillId="0" borderId="0">
      <alignment horizontal="center"/>
    </xf>
    <xf numFmtId="312" fontId="7" fillId="0" borderId="0" applyFill="0" applyBorder="0" applyAlignment="0" applyProtection="0">
      <alignment wrapText="1"/>
    </xf>
    <xf numFmtId="0" fontId="102" fillId="0" borderId="0" applyFill="0" applyBorder="0" applyAlignment="0" applyProtection="0"/>
    <xf numFmtId="3" fontId="74" fillId="79" borderId="0">
      <alignment horizontal="left"/>
    </xf>
    <xf numFmtId="177" fontId="203" fillId="0" borderId="0"/>
    <xf numFmtId="37" fontId="204" fillId="0" borderId="0"/>
    <xf numFmtId="37" fontId="135" fillId="0" borderId="0"/>
    <xf numFmtId="38" fontId="205" fillId="0" borderId="0" applyFill="0" applyBorder="0" applyAlignment="0" applyProtection="0"/>
    <xf numFmtId="302" fontId="206" fillId="0" borderId="0" applyFill="0" applyBorder="0" applyAlignment="0" applyProtection="0"/>
    <xf numFmtId="0" fontId="86" fillId="0" borderId="5">
      <alignment horizontal="center"/>
    </xf>
    <xf numFmtId="0" fontId="86" fillId="0" borderId="5">
      <alignment horizontal="center"/>
    </xf>
    <xf numFmtId="0" fontId="86" fillId="0" borderId="5">
      <alignment horizontal="center"/>
    </xf>
    <xf numFmtId="0" fontId="86" fillId="0" borderId="5">
      <alignment horizontal="center"/>
    </xf>
    <xf numFmtId="0" fontId="86" fillId="0" borderId="5">
      <alignment horizontal="center"/>
    </xf>
    <xf numFmtId="0" fontId="86" fillId="0" borderId="5">
      <alignment horizontal="center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86" fillId="0" borderId="5">
      <alignment horizontal="center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86" fillId="0" borderId="5">
      <alignment horizontal="center"/>
    </xf>
    <xf numFmtId="0" fontId="86" fillId="0" borderId="5">
      <alignment horizontal="center"/>
    </xf>
    <xf numFmtId="0" fontId="7" fillId="0" borderId="5">
      <alignment horizontal="center"/>
    </xf>
    <xf numFmtId="0" fontId="7" fillId="0" borderId="5">
      <alignment horizontal="center"/>
    </xf>
    <xf numFmtId="0" fontId="7" fillId="0" borderId="5">
      <alignment horizontal="center"/>
    </xf>
    <xf numFmtId="0" fontId="7" fillId="0" borderId="5">
      <alignment horizontal="center"/>
    </xf>
    <xf numFmtId="0" fontId="7" fillId="0" borderId="5">
      <alignment horizontal="center"/>
    </xf>
    <xf numFmtId="0" fontId="7" fillId="0" borderId="5">
      <alignment horizontal="center"/>
    </xf>
    <xf numFmtId="0" fontId="7" fillId="0" borderId="5">
      <alignment horizontal="center"/>
    </xf>
    <xf numFmtId="0" fontId="7" fillId="0" borderId="5">
      <alignment horizontal="center"/>
    </xf>
    <xf numFmtId="0" fontId="7" fillId="0" borderId="5">
      <alignment horizontal="center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207" fillId="0" borderId="0" applyBorder="0" applyProtection="0">
      <alignment vertical="center"/>
    </xf>
    <xf numFmtId="264" fontId="207" fillId="0" borderId="5" applyBorder="0" applyProtection="0">
      <alignment horizontal="right" vertical="center"/>
    </xf>
    <xf numFmtId="0" fontId="208" fillId="58" borderId="0" applyBorder="0" applyProtection="0">
      <alignment horizontal="centerContinuous" vertical="center"/>
    </xf>
    <xf numFmtId="0" fontId="208" fillId="77" borderId="5" applyBorder="0" applyProtection="0">
      <alignment horizontal="centerContinuous" vertical="center"/>
    </xf>
    <xf numFmtId="0" fontId="207" fillId="0" borderId="0" applyBorder="0" applyProtection="0">
      <alignment vertical="center"/>
    </xf>
    <xf numFmtId="0" fontId="52" fillId="0" borderId="0" applyBorder="0" applyProtection="0">
      <alignment horizontal="left"/>
    </xf>
    <xf numFmtId="0" fontId="57" fillId="0" borderId="0"/>
    <xf numFmtId="0" fontId="209" fillId="0" borderId="0" applyFill="0" applyBorder="0" applyProtection="0">
      <alignment horizontal="left"/>
    </xf>
    <xf numFmtId="0" fontId="137" fillId="0" borderId="27" applyFill="0" applyBorder="0" applyProtection="0">
      <alignment horizontal="left" vertical="top"/>
    </xf>
    <xf numFmtId="0" fontId="106" fillId="0" borderId="0">
      <alignment horizontal="centerContinuous"/>
    </xf>
    <xf numFmtId="17" fontId="210" fillId="0" borderId="0" applyNumberFormat="0" applyFill="0" applyBorder="0">
      <alignment horizontal="left"/>
    </xf>
    <xf numFmtId="17" fontId="210" fillId="0" borderId="0" applyNumberFormat="0" applyFill="0" applyBorder="0">
      <alignment horizontal="right"/>
    </xf>
    <xf numFmtId="17" fontId="211" fillId="0" borderId="0" applyNumberFormat="0" applyFill="0" applyBorder="0">
      <alignment horizontal="right"/>
    </xf>
    <xf numFmtId="0" fontId="212" fillId="0" borderId="0"/>
    <xf numFmtId="0" fontId="7" fillId="0" borderId="0"/>
    <xf numFmtId="0" fontId="86" fillId="0" borderId="5">
      <alignment horizontal="center"/>
    </xf>
    <xf numFmtId="313" fontId="7" fillId="69" borderId="0">
      <alignment horizontal="left"/>
    </xf>
    <xf numFmtId="0" fontId="213" fillId="0" borderId="0"/>
    <xf numFmtId="0" fontId="214" fillId="0" borderId="0"/>
    <xf numFmtId="49" fontId="82" fillId="0" borderId="0" applyFill="0" applyBorder="0" applyAlignment="0"/>
    <xf numFmtId="314" fontId="7" fillId="0" borderId="0" applyFill="0" applyBorder="0" applyAlignment="0"/>
    <xf numFmtId="315" fontId="7" fillId="0" borderId="0" applyFill="0" applyBorder="0" applyAlignment="0"/>
    <xf numFmtId="0" fontId="110" fillId="0" borderId="0">
      <alignment vertical="center"/>
    </xf>
    <xf numFmtId="0" fontId="5" fillId="0" borderId="0"/>
    <xf numFmtId="316" fontId="7" fillId="0" borderId="0" applyFill="0" applyBorder="0" applyAlignment="0" applyProtection="0">
      <alignment horizontal="right"/>
    </xf>
    <xf numFmtId="316" fontId="7" fillId="0" borderId="0" applyFill="0" applyBorder="0" applyAlignment="0" applyProtection="0">
      <alignment horizontal="right"/>
    </xf>
    <xf numFmtId="0" fontId="215" fillId="0" borderId="0" applyFill="0" applyBorder="0" applyProtection="0">
      <alignment horizontal="left"/>
    </xf>
    <xf numFmtId="18" fontId="216" fillId="0" borderId="0" applyFont="0" applyFill="0" applyBorder="0" applyAlignment="0" applyProtection="0">
      <alignment horizontal="left"/>
    </xf>
    <xf numFmtId="0" fontId="91" fillId="69" borderId="0"/>
    <xf numFmtId="0" fontId="125" fillId="69" borderId="0"/>
    <xf numFmtId="0" fontId="217" fillId="69" borderId="0">
      <alignment horizontal="left"/>
    </xf>
    <xf numFmtId="0" fontId="218" fillId="69" borderId="57">
      <alignment horizontal="center"/>
    </xf>
    <xf numFmtId="0" fontId="91" fillId="69" borderId="0"/>
    <xf numFmtId="0" fontId="219" fillId="1" borderId="0" applyNumberFormat="0" applyBorder="0" applyProtection="0">
      <alignment horizontal="left" vertical="center"/>
    </xf>
    <xf numFmtId="0" fontId="72" fillId="0" borderId="0" applyBorder="0"/>
    <xf numFmtId="0" fontId="86" fillId="0" borderId="5">
      <alignment horizontal="centerContinuous"/>
    </xf>
    <xf numFmtId="177" fontId="220" fillId="0" borderId="51"/>
    <xf numFmtId="0" fontId="125" fillId="0" borderId="5" applyNumberFormat="0" applyProtection="0">
      <alignment horizontal="center"/>
    </xf>
    <xf numFmtId="1" fontId="221" fillId="0" borderId="0">
      <alignment horizontal="left"/>
    </xf>
    <xf numFmtId="37" fontId="222" fillId="0" borderId="0"/>
    <xf numFmtId="3" fontId="223" fillId="55" borderId="0">
      <alignment horizontal="left"/>
    </xf>
    <xf numFmtId="3" fontId="140" fillId="56" borderId="5">
      <alignment horizontal="center" vertical="center"/>
    </xf>
    <xf numFmtId="3" fontId="224" fillId="56" borderId="0"/>
    <xf numFmtId="3" fontId="225" fillId="56" borderId="0"/>
    <xf numFmtId="3" fontId="226" fillId="56" borderId="0"/>
    <xf numFmtId="3" fontId="227" fillId="79" borderId="0">
      <alignment horizontal="left"/>
    </xf>
    <xf numFmtId="0" fontId="98" fillId="0" borderId="58" applyNumberFormat="0" applyFont="0" applyFill="0" applyAlignment="0" applyProtection="0"/>
    <xf numFmtId="0" fontId="7" fillId="16" borderId="26"/>
    <xf numFmtId="0" fontId="7" fillId="16" borderId="26"/>
    <xf numFmtId="3" fontId="226" fillId="56" borderId="0">
      <alignment horizontal="right"/>
    </xf>
    <xf numFmtId="0" fontId="56" fillId="0" borderId="59" applyNumberFormat="0" applyFont="0" applyFill="0" applyAlignment="0" applyProtection="0"/>
    <xf numFmtId="37" fontId="228" fillId="0" borderId="0"/>
    <xf numFmtId="3" fontId="75" fillId="80" borderId="0">
      <alignment horizontal="right"/>
    </xf>
    <xf numFmtId="171" fontId="56" fillId="0" borderId="58"/>
    <xf numFmtId="0" fontId="56" fillId="0" borderId="58"/>
    <xf numFmtId="170" fontId="56" fillId="0" borderId="58"/>
    <xf numFmtId="0" fontId="86" fillId="0" borderId="0">
      <alignment horizontal="centerContinuous"/>
    </xf>
    <xf numFmtId="0" fontId="86" fillId="0" borderId="0">
      <alignment horizontal="centerContinuous"/>
    </xf>
    <xf numFmtId="0" fontId="86" fillId="0" borderId="0">
      <alignment horizontal="centerContinuous"/>
    </xf>
    <xf numFmtId="0" fontId="86" fillId="0" borderId="0">
      <alignment horizontal="centerContinuous"/>
    </xf>
    <xf numFmtId="0" fontId="86" fillId="0" borderId="0">
      <alignment horizontal="centerContinuous"/>
    </xf>
    <xf numFmtId="0" fontId="86" fillId="0" borderId="0">
      <alignment horizontal="centerContinuous"/>
    </xf>
    <xf numFmtId="0" fontId="86" fillId="0" borderId="0">
      <alignment horizontal="centerContinuous"/>
    </xf>
    <xf numFmtId="0" fontId="86" fillId="0" borderId="0">
      <alignment horizontal="centerContinuous"/>
    </xf>
    <xf numFmtId="0" fontId="86" fillId="0" borderId="0">
      <alignment horizontal="centerContinuous"/>
    </xf>
    <xf numFmtId="0" fontId="7" fillId="0" borderId="0">
      <alignment horizontal="centerContinuous"/>
    </xf>
    <xf numFmtId="0" fontId="7" fillId="0" borderId="0">
      <alignment horizontal="centerContinuous"/>
    </xf>
    <xf numFmtId="0" fontId="7" fillId="0" borderId="0">
      <alignment horizontal="centerContinuous"/>
    </xf>
    <xf numFmtId="0" fontId="7" fillId="0" borderId="0">
      <alignment horizontal="centerContinuous"/>
    </xf>
    <xf numFmtId="0" fontId="7" fillId="0" borderId="0">
      <alignment horizontal="centerContinuous"/>
    </xf>
    <xf numFmtId="0" fontId="7" fillId="0" borderId="0">
      <alignment horizontal="centerContinuous"/>
    </xf>
    <xf numFmtId="0" fontId="7" fillId="0" borderId="0">
      <alignment horizontal="centerContinuous"/>
    </xf>
    <xf numFmtId="0" fontId="7" fillId="0" borderId="0">
      <alignment horizontal="centerContinuous"/>
    </xf>
    <xf numFmtId="0" fontId="7" fillId="0" borderId="0">
      <alignment horizontal="centerContinuous"/>
    </xf>
    <xf numFmtId="177" fontId="229" fillId="0" borderId="0">
      <alignment horizontal="left"/>
      <protection locked="0"/>
    </xf>
    <xf numFmtId="0" fontId="7" fillId="0" borderId="0"/>
    <xf numFmtId="10" fontId="122" fillId="0" borderId="5" applyNumberFormat="0" applyFont="0" applyFill="0" applyAlignment="0" applyProtection="0"/>
    <xf numFmtId="10" fontId="122" fillId="0" borderId="60" applyNumberFormat="0" applyFont="0" applyFill="0" applyAlignment="0" applyProtection="0"/>
    <xf numFmtId="0" fontId="230" fillId="0" borderId="0">
      <alignment horizontal="fill"/>
    </xf>
    <xf numFmtId="0" fontId="231" fillId="0" borderId="0">
      <alignment horizontal="centerContinuous"/>
    </xf>
    <xf numFmtId="38" fontId="232" fillId="0" borderId="0" applyNumberFormat="0" applyBorder="0" applyAlignment="0">
      <protection locked="0"/>
    </xf>
    <xf numFmtId="0" fontId="233" fillId="0" borderId="0" applyNumberFormat="0"/>
    <xf numFmtId="317" fontId="7" fillId="0" borderId="0" applyFont="0" applyFill="0" applyBorder="0" applyAlignment="0" applyProtection="0"/>
    <xf numFmtId="318" fontId="7" fillId="0" borderId="0" applyFont="0" applyFill="0" applyBorder="0" applyAlignment="0" applyProtection="0"/>
    <xf numFmtId="4" fontId="234" fillId="0" borderId="37"/>
    <xf numFmtId="319" fontId="160" fillId="0" borderId="37"/>
    <xf numFmtId="4" fontId="194" fillId="0" borderId="37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7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3" fontId="7" fillId="0" borderId="0" applyFill="0" applyBorder="0" applyAlignment="0" applyProtection="0"/>
    <xf numFmtId="320" fontId="7" fillId="0" borderId="0" applyFont="0" applyFill="0" applyBorder="0" applyAlignment="0" applyProtection="0"/>
    <xf numFmtId="321" fontId="7" fillId="0" borderId="0" applyFont="0" applyFill="0" applyBorder="0" applyAlignment="0" applyProtection="0"/>
    <xf numFmtId="322" fontId="180" fillId="0" borderId="0" applyFont="0" applyFill="0" applyBorder="0" applyAlignment="0" applyProtection="0"/>
    <xf numFmtId="323" fontId="18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226" fontId="235" fillId="0" borderId="0" applyNumberFormat="0" applyFill="0" applyBorder="0" applyAlignment="0" applyProtection="0"/>
    <xf numFmtId="0" fontId="155" fillId="0" borderId="0" applyFont="0" applyFill="0" applyBorder="0" applyAlignment="0" applyProtection="0"/>
    <xf numFmtId="324" fontId="56" fillId="0" borderId="0" applyFont="0" applyFill="0" applyBorder="0" applyAlignment="0" applyProtection="0"/>
    <xf numFmtId="283" fontId="54" fillId="0" borderId="0"/>
    <xf numFmtId="0" fontId="7" fillId="0" borderId="0" applyFont="0" applyFill="0" applyBorder="0" applyAlignment="0" applyProtection="0"/>
    <xf numFmtId="325" fontId="56" fillId="0" borderId="0" applyFont="0" applyFill="0" applyBorder="0" applyAlignment="0" applyProtection="0"/>
    <xf numFmtId="325" fontId="56" fillId="0" borderId="0" applyFont="0" applyFill="0" applyBorder="0" applyAlignment="0" applyProtection="0"/>
    <xf numFmtId="326" fontId="56" fillId="0" borderId="0" applyFont="0" applyFill="0" applyBorder="0" applyAlignment="0" applyProtection="0"/>
    <xf numFmtId="325" fontId="56" fillId="0" borderId="0" applyFont="0" applyFill="0" applyBorder="0" applyAlignment="0" applyProtection="0"/>
    <xf numFmtId="325" fontId="56" fillId="0" borderId="0" applyFont="0" applyFill="0" applyBorder="0" applyAlignment="0" applyProtection="0"/>
    <xf numFmtId="325" fontId="56" fillId="0" borderId="0" applyFont="0" applyFill="0" applyBorder="0" applyAlignment="0" applyProtection="0"/>
    <xf numFmtId="326" fontId="56" fillId="0" borderId="0" applyFont="0" applyFill="0" applyBorder="0" applyAlignment="0" applyProtection="0"/>
    <xf numFmtId="325" fontId="56" fillId="0" borderId="0" applyFont="0" applyFill="0" applyBorder="0" applyAlignment="0" applyProtection="0"/>
    <xf numFmtId="326" fontId="56" fillId="0" borderId="0" applyFont="0" applyFill="0" applyBorder="0" applyAlignment="0" applyProtection="0"/>
    <xf numFmtId="325" fontId="56" fillId="0" borderId="0" applyFont="0" applyFill="0" applyBorder="0" applyAlignment="0" applyProtection="0"/>
    <xf numFmtId="327" fontId="7" fillId="0" borderId="0" applyFont="0" applyFill="0" applyBorder="0" applyAlignment="0" applyProtection="0"/>
    <xf numFmtId="327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7" fontId="7" fillId="0" borderId="0" applyFont="0" applyFill="0" applyBorder="0" applyAlignment="0" applyProtection="0"/>
    <xf numFmtId="327" fontId="7" fillId="0" borderId="0" applyFont="0" applyFill="0" applyBorder="0" applyAlignment="0" applyProtection="0"/>
    <xf numFmtId="327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7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7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7" fontId="7" fillId="0" borderId="0" applyFont="0" applyFill="0" applyBorder="0" applyAlignment="0" applyProtection="0"/>
    <xf numFmtId="327" fontId="7" fillId="0" borderId="0" applyFont="0" applyFill="0" applyBorder="0" applyAlignment="0" applyProtection="0"/>
    <xf numFmtId="326" fontId="56" fillId="0" borderId="0" applyFont="0" applyFill="0" applyBorder="0" applyAlignment="0" applyProtection="0"/>
    <xf numFmtId="325" fontId="56" fillId="0" borderId="0" applyFont="0" applyFill="0" applyBorder="0" applyAlignment="0" applyProtection="0"/>
    <xf numFmtId="325" fontId="56" fillId="0" borderId="0" applyFont="0" applyFill="0" applyBorder="0" applyAlignment="0" applyProtection="0"/>
    <xf numFmtId="324" fontId="56" fillId="0" borderId="0" applyFont="0" applyFill="0" applyBorder="0" applyAlignment="0" applyProtection="0"/>
    <xf numFmtId="329" fontId="7" fillId="0" borderId="0" applyFont="0" applyFill="0" applyBorder="0" applyAlignment="0" applyProtection="0"/>
    <xf numFmtId="329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329" fontId="7" fillId="0" borderId="0" applyFont="0" applyFill="0" applyBorder="0" applyAlignment="0" applyProtection="0"/>
    <xf numFmtId="329" fontId="7" fillId="0" borderId="0" applyFont="0" applyFill="0" applyBorder="0" applyAlignment="0" applyProtection="0"/>
    <xf numFmtId="329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329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329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329" fontId="7" fillId="0" borderId="0" applyFont="0" applyFill="0" applyBorder="0" applyAlignment="0" applyProtection="0"/>
    <xf numFmtId="329" fontId="7" fillId="0" borderId="0" applyFont="0" applyFill="0" applyBorder="0" applyAlignment="0" applyProtection="0"/>
    <xf numFmtId="229" fontId="56" fillId="0" borderId="0"/>
    <xf numFmtId="230" fontId="56" fillId="0" borderId="0"/>
    <xf numFmtId="231" fontId="56" fillId="0" borderId="0"/>
    <xf numFmtId="331" fontId="89" fillId="0" borderId="0" applyFont="0" applyFill="0" applyBorder="0" applyAlignment="0" applyProtection="0"/>
    <xf numFmtId="332" fontId="89" fillId="0" borderId="0" applyFont="0" applyFill="0" applyBorder="0" applyAlignment="0" applyProtection="0"/>
    <xf numFmtId="333" fontId="89" fillId="0" borderId="0" applyFont="0" applyFill="0" applyBorder="0" applyAlignment="0" applyProtection="0"/>
    <xf numFmtId="334" fontId="89" fillId="0" borderId="0" applyFont="0" applyFill="0" applyBorder="0" applyAlignment="0" applyProtection="0"/>
    <xf numFmtId="335" fontId="7" fillId="0" borderId="0" applyFont="0" applyFill="0" applyBorder="0" applyAlignment="0" applyProtection="0"/>
    <xf numFmtId="336" fontId="89" fillId="0" borderId="0" applyFont="0" applyFill="0" applyBorder="0" applyAlignment="0" applyProtection="0"/>
    <xf numFmtId="337" fontId="89" fillId="0" borderId="0" applyFont="0" applyFill="0" applyBorder="0" applyAlignment="0" applyProtection="0"/>
    <xf numFmtId="338" fontId="89" fillId="0" borderId="0" applyFont="0" applyFill="0" applyBorder="0" applyAlignment="0" applyProtection="0"/>
    <xf numFmtId="339" fontId="89" fillId="0" borderId="0" applyFont="0" applyFill="0" applyBorder="0" applyAlignment="0" applyProtection="0"/>
    <xf numFmtId="340" fontId="7" fillId="0" borderId="0" applyFont="0" applyFill="0" applyBorder="0" applyAlignment="0" applyProtection="0"/>
    <xf numFmtId="1" fontId="236" fillId="0" borderId="5">
      <alignment horizontal="center"/>
    </xf>
    <xf numFmtId="341" fontId="7" fillId="0" borderId="0" applyFont="0" applyFill="0" applyBorder="0" applyAlignment="0" applyProtection="0"/>
    <xf numFmtId="1" fontId="7" fillId="0" borderId="0" applyFont="0" applyFill="0" applyBorder="0" applyAlignment="0" applyProtection="0"/>
    <xf numFmtId="1" fontId="237" fillId="0" borderId="26">
      <alignment horizontal="center"/>
    </xf>
    <xf numFmtId="170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342" fontId="238" fillId="0" borderId="0" applyFont="0" applyFill="0" applyBorder="0" applyAlignment="0" applyProtection="0"/>
    <xf numFmtId="343" fontId="238" fillId="0" borderId="0" applyFont="0" applyFill="0" applyBorder="0" applyAlignment="0" applyProtection="0"/>
    <xf numFmtId="0" fontId="7" fillId="0" borderId="0"/>
    <xf numFmtId="0" fontId="7" fillId="0" borderId="0"/>
    <xf numFmtId="168" fontId="239" fillId="0" borderId="0" applyFont="0" applyFill="0" applyBorder="0" applyAlignment="0" applyProtection="0"/>
    <xf numFmtId="170" fontId="239" fillId="0" borderId="0" applyFont="0" applyFill="0" applyBorder="0" applyAlignment="0" applyProtection="0"/>
    <xf numFmtId="344" fontId="239" fillId="0" borderId="0" applyFont="0" applyFill="0" applyBorder="0" applyAlignment="0" applyProtection="0"/>
    <xf numFmtId="345" fontId="239" fillId="0" borderId="0" applyFont="0" applyFill="0" applyBorder="0" applyAlignment="0" applyProtection="0"/>
    <xf numFmtId="0" fontId="49" fillId="0" borderId="0"/>
    <xf numFmtId="0" fontId="7" fillId="0" borderId="0"/>
    <xf numFmtId="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7" fillId="0" borderId="0"/>
    <xf numFmtId="0" fontId="7" fillId="0" borderId="0"/>
    <xf numFmtId="0" fontId="15" fillId="4" borderId="0" applyNumberFormat="0" applyBorder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20" fillId="0" borderId="3" applyNumberFormat="0" applyFill="0" applyAlignment="0" applyProtection="0"/>
    <xf numFmtId="0" fontId="19" fillId="7" borderId="1" applyNumberFormat="0" applyAlignment="0" applyProtection="0"/>
    <xf numFmtId="0" fontId="21" fillId="22" borderId="0" applyNumberFormat="0" applyBorder="0" applyAlignment="0" applyProtection="0"/>
    <xf numFmtId="0" fontId="7" fillId="23" borderId="4" applyNumberFormat="0" applyFont="0" applyAlignment="0" applyProtection="0"/>
    <xf numFmtId="0" fontId="25" fillId="0" borderId="0" applyNumberFormat="0" applyFill="0" applyBorder="0" applyAlignment="0" applyProtection="0"/>
    <xf numFmtId="0" fontId="56" fillId="0" borderId="59" applyNumberFormat="0" applyFont="0" applyFill="0" applyAlignment="0" applyProtection="0"/>
    <xf numFmtId="0" fontId="56" fillId="0" borderId="59" applyNumberFormat="0" applyFont="0" applyFill="0" applyAlignment="0" applyProtection="0"/>
    <xf numFmtId="170" fontId="4" fillId="0" borderId="0" applyFont="0" applyFill="0" applyBorder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36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15" applyNumberFormat="0" applyAlignment="0" applyProtection="0"/>
    <xf numFmtId="0" fontId="40" fillId="28" borderId="16" applyNumberFormat="0" applyAlignment="0" applyProtection="0"/>
    <xf numFmtId="0" fontId="41" fillId="28" borderId="15" applyNumberFormat="0" applyAlignment="0" applyProtection="0"/>
    <xf numFmtId="0" fontId="42" fillId="0" borderId="17" applyNumberFormat="0" applyFill="0" applyAlignment="0" applyProtection="0"/>
    <xf numFmtId="0" fontId="43" fillId="29" borderId="18" applyNumberFormat="0" applyAlignment="0" applyProtection="0"/>
    <xf numFmtId="0" fontId="44" fillId="0" borderId="0" applyNumberFormat="0" applyFill="0" applyBorder="0" applyAlignment="0" applyProtection="0"/>
    <xf numFmtId="0" fontId="4" fillId="30" borderId="19" applyNumberFormat="0" applyFont="0" applyAlignment="0" applyProtection="0"/>
    <xf numFmtId="0" fontId="45" fillId="0" borderId="0" applyNumberFormat="0" applyFill="0" applyBorder="0" applyAlignment="0" applyProtection="0"/>
    <xf numFmtId="0" fontId="46" fillId="0" borderId="20" applyNumberFormat="0" applyFill="0" applyAlignment="0" applyProtection="0"/>
    <xf numFmtId="0" fontId="47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7" fillId="54" borderId="0" applyNumberFormat="0" applyBorder="0" applyAlignment="0" applyProtection="0"/>
    <xf numFmtId="170" fontId="4" fillId="0" borderId="0" applyFont="0" applyFill="0" applyBorder="0" applyAlignment="0" applyProtection="0"/>
    <xf numFmtId="0" fontId="49" fillId="0" borderId="0"/>
    <xf numFmtId="9" fontId="4" fillId="0" borderId="0" applyFont="0" applyFill="0" applyBorder="0" applyAlignment="0" applyProtection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" fillId="0" borderId="0" applyFont="0" applyFill="0" applyBorder="0" applyAlignment="0" applyProtection="0"/>
    <xf numFmtId="177" fontId="53" fillId="0" borderId="0"/>
    <xf numFmtId="177" fontId="53" fillId="0" borderId="0"/>
    <xf numFmtId="189" fontId="7" fillId="0" borderId="0" applyFont="0" applyFill="0" applyBorder="0" applyAlignment="0" applyProtection="0"/>
    <xf numFmtId="177" fontId="53" fillId="0" borderId="0"/>
    <xf numFmtId="177" fontId="53" fillId="0" borderId="0"/>
    <xf numFmtId="177" fontId="53" fillId="0" borderId="0"/>
    <xf numFmtId="177" fontId="53" fillId="0" borderId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97" fontId="7" fillId="0" borderId="0" applyFont="0" applyFill="0" applyBorder="0" applyAlignment="0" applyProtection="0"/>
    <xf numFmtId="197" fontId="7" fillId="0" borderId="0" applyFont="0" applyFill="0" applyBorder="0" applyAlignment="0" applyProtection="0"/>
    <xf numFmtId="19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97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7" fontId="53" fillId="0" borderId="0"/>
    <xf numFmtId="177" fontId="53" fillId="0" borderId="0"/>
    <xf numFmtId="0" fontId="69" fillId="0" borderId="29" applyNumberFormat="0" applyFill="0" applyAlignment="0" applyProtection="0"/>
    <xf numFmtId="0" fontId="69" fillId="0" borderId="29" applyNumberFormat="0" applyFill="0" applyAlignment="0" applyProtection="0"/>
    <xf numFmtId="0" fontId="7" fillId="0" borderId="31" applyNumberFormat="0" applyFont="0" applyFill="0" applyAlignment="0" applyProtection="0"/>
    <xf numFmtId="177" fontId="53" fillId="0" borderId="0"/>
    <xf numFmtId="177" fontId="53" fillId="0" borderId="0"/>
    <xf numFmtId="177" fontId="53" fillId="0" borderId="0"/>
    <xf numFmtId="177" fontId="53" fillId="0" borderId="0"/>
    <xf numFmtId="177" fontId="53" fillId="0" borderId="0"/>
    <xf numFmtId="177" fontId="53" fillId="0" borderId="0"/>
    <xf numFmtId="177" fontId="53" fillId="0" borderId="0"/>
    <xf numFmtId="177" fontId="5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54" fillId="0" borderId="0" applyNumberFormat="0" applyFill="0" applyBorder="0" applyAlignment="0">
      <alignment vertical="center"/>
    </xf>
    <xf numFmtId="9" fontId="7" fillId="0" borderId="0"/>
    <xf numFmtId="0" fontId="72" fillId="0" borderId="0"/>
    <xf numFmtId="2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9" fontId="241" fillId="56" borderId="21" applyProtection="0">
      <alignment horizontal="left" vertical="top"/>
    </xf>
    <xf numFmtId="49" fontId="241" fillId="56" borderId="25" applyProtection="0">
      <alignment horizontal="left" vertical="top"/>
    </xf>
    <xf numFmtId="49" fontId="241" fillId="56" borderId="25" applyProtection="0">
      <alignment horizontal="left" vertical="top"/>
    </xf>
    <xf numFmtId="49" fontId="241" fillId="56" borderId="25" applyProtection="0">
      <alignment horizontal="left" vertical="top"/>
    </xf>
    <xf numFmtId="4" fontId="241" fillId="81" borderId="61" applyProtection="0">
      <alignment horizontal="right" vertical="top"/>
    </xf>
    <xf numFmtId="49" fontId="241" fillId="56" borderId="62" applyProtection="0">
      <alignment horizontal="left" vertical="top"/>
    </xf>
    <xf numFmtId="49" fontId="241" fillId="81" borderId="61" applyProtection="0">
      <alignment horizontal="right" vertical="top"/>
    </xf>
    <xf numFmtId="49" fontId="241" fillId="56" borderId="61" applyProtection="0">
      <alignment horizontal="left" vertical="top"/>
    </xf>
    <xf numFmtId="0" fontId="241" fillId="81" borderId="61" applyNumberFormat="0" applyProtection="0">
      <alignment horizontal="right" vertical="top"/>
    </xf>
    <xf numFmtId="49" fontId="241" fillId="56" borderId="21" applyProtection="0">
      <alignment horizontal="right" vertical="top"/>
    </xf>
    <xf numFmtId="4" fontId="241" fillId="61" borderId="61" applyProtection="0">
      <alignment horizontal="right" vertical="top"/>
    </xf>
    <xf numFmtId="266" fontId="241" fillId="81" borderId="61" applyProtection="0">
      <alignment horizontal="right" vertical="top"/>
    </xf>
    <xf numFmtId="4" fontId="241" fillId="81" borderId="61" applyProtection="0">
      <alignment horizontal="right" vertical="top"/>
    </xf>
    <xf numFmtId="49" fontId="242" fillId="81" borderId="61" applyProtection="0">
      <alignment horizontal="left" vertical="top"/>
    </xf>
    <xf numFmtId="0" fontId="241" fillId="61" borderId="61" applyNumberFormat="0" applyProtection="0">
      <alignment horizontal="right" vertical="top"/>
    </xf>
    <xf numFmtId="4" fontId="242" fillId="81" borderId="61" applyProtection="0">
      <alignment horizontal="right" vertical="top"/>
    </xf>
    <xf numFmtId="0" fontId="241" fillId="61" borderId="61" applyProtection="0">
      <alignment horizontal="right" vertical="top"/>
    </xf>
    <xf numFmtId="266" fontId="241" fillId="61" borderId="61" applyProtection="0">
      <alignment horizontal="right" vertical="top"/>
    </xf>
    <xf numFmtId="4" fontId="241" fillId="61" borderId="61" applyProtection="0">
      <alignment horizontal="right" vertical="top"/>
    </xf>
    <xf numFmtId="49" fontId="242" fillId="61" borderId="61" applyProtection="0">
      <alignment horizontal="left" vertical="top"/>
    </xf>
    <xf numFmtId="49" fontId="241" fillId="56" borderId="21" applyProtection="0">
      <alignment horizontal="left" vertical="top"/>
    </xf>
    <xf numFmtId="4" fontId="242" fillId="61" borderId="61" applyProtection="0">
      <alignment horizontal="right" vertical="top"/>
    </xf>
    <xf numFmtId="0" fontId="243" fillId="62" borderId="61" applyNumberFormat="0" applyProtection="0">
      <alignment horizontal="right" vertical="top"/>
    </xf>
    <xf numFmtId="49" fontId="242" fillId="82" borderId="61" applyProtection="0">
      <alignment horizontal="right" vertical="top"/>
    </xf>
    <xf numFmtId="49" fontId="241" fillId="56" borderId="22" applyProtection="0">
      <alignment horizontal="left" vertical="top"/>
    </xf>
    <xf numFmtId="49" fontId="241" fillId="56" borderId="22" applyProtection="0">
      <alignment horizontal="left" vertical="top"/>
    </xf>
    <xf numFmtId="0" fontId="243" fillId="62" borderId="61" applyProtection="0">
      <alignment horizontal="right" vertical="top"/>
    </xf>
    <xf numFmtId="266" fontId="243" fillId="62" borderId="61" applyProtection="0">
      <alignment horizontal="right" vertical="top"/>
    </xf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4" fontId="243" fillId="62" borderId="61" applyProtection="0">
      <alignment horizontal="right" vertical="top"/>
    </xf>
    <xf numFmtId="49" fontId="244" fillId="81" borderId="61" applyProtection="0">
      <alignment horizontal="left" vertical="top"/>
    </xf>
    <xf numFmtId="0" fontId="241" fillId="62" borderId="61" applyNumberFormat="0" applyProtection="0">
      <alignment horizontal="right" vertical="top"/>
    </xf>
    <xf numFmtId="4" fontId="244" fillId="81" borderId="61" applyProtection="0">
      <alignment horizontal="right" vertical="top"/>
    </xf>
    <xf numFmtId="0" fontId="241" fillId="62" borderId="61" applyProtection="0">
      <alignment horizontal="right" vertical="top"/>
    </xf>
    <xf numFmtId="266" fontId="241" fillId="62" borderId="61" applyProtection="0">
      <alignment horizontal="right" vertical="top"/>
    </xf>
    <xf numFmtId="49" fontId="244" fillId="82" borderId="61" applyProtection="0">
      <alignment horizontal="right" vertical="top"/>
    </xf>
    <xf numFmtId="4" fontId="241" fillId="62" borderId="61" applyProtection="0">
      <alignment horizontal="right" vertical="top"/>
    </xf>
    <xf numFmtId="0" fontId="244" fillId="81" borderId="61" applyNumberFormat="0" applyProtection="0">
      <alignment horizontal="right" vertical="top"/>
    </xf>
    <xf numFmtId="49" fontId="245" fillId="61" borderId="61" applyProtection="0">
      <alignment horizontal="left" vertical="top"/>
    </xf>
    <xf numFmtId="49" fontId="244" fillId="81" borderId="61" applyProtection="0">
      <alignment horizontal="left" vertical="top"/>
    </xf>
    <xf numFmtId="4" fontId="245" fillId="61" borderId="61" applyProtection="0">
      <alignment horizontal="right" vertical="top"/>
    </xf>
    <xf numFmtId="4" fontId="244" fillId="81" borderId="61" applyProtection="0">
      <alignment horizontal="right" vertical="top"/>
    </xf>
    <xf numFmtId="0" fontId="245" fillId="81" borderId="61" applyNumberFormat="0" applyProtection="0">
      <alignment horizontal="right" vertical="top"/>
    </xf>
    <xf numFmtId="0" fontId="245" fillId="81" borderId="61" applyNumberFormat="0" applyProtection="0">
      <alignment horizontal="right" vertical="top"/>
    </xf>
    <xf numFmtId="49" fontId="245" fillId="81" borderId="61" applyProtection="0">
      <alignment horizontal="left" vertical="top"/>
    </xf>
    <xf numFmtId="49" fontId="245" fillId="81" borderId="61" applyProtection="0">
      <alignment horizontal="left" vertical="top"/>
    </xf>
    <xf numFmtId="4" fontId="245" fillId="81" borderId="61" applyProtection="0">
      <alignment horizontal="right" vertical="top"/>
    </xf>
    <xf numFmtId="4" fontId="245" fillId="81" borderId="61" applyProtection="0">
      <alignment horizontal="right" vertical="top"/>
    </xf>
    <xf numFmtId="176" fontId="7" fillId="56" borderId="63" applyNumberFormat="0" applyFill="0" applyBorder="0">
      <alignment vertical="top" wrapText="1"/>
    </xf>
    <xf numFmtId="49" fontId="241" fillId="56" borderId="23" applyProtection="0">
      <alignment horizontal="left" vertical="top" wrapText="1"/>
    </xf>
    <xf numFmtId="49" fontId="241" fillId="56" borderId="23" applyProtection="0">
      <alignment horizontal="left" vertical="top" wrapText="1"/>
    </xf>
    <xf numFmtId="0" fontId="244" fillId="61" borderId="61" applyNumberFormat="0" applyProtection="0">
      <alignment horizontal="right" vertical="top"/>
    </xf>
    <xf numFmtId="0" fontId="245" fillId="61" borderId="61" applyNumberFormat="0" applyProtection="0">
      <alignment horizontal="right" vertical="top"/>
    </xf>
    <xf numFmtId="49" fontId="244" fillId="61" borderId="61" applyProtection="0">
      <alignment horizontal="left" vertical="top"/>
    </xf>
    <xf numFmtId="49" fontId="245" fillId="61" borderId="61" applyProtection="0">
      <alignment horizontal="left" vertical="top"/>
    </xf>
    <xf numFmtId="4" fontId="244" fillId="61" borderId="61" applyProtection="0">
      <alignment horizontal="right" vertical="top"/>
    </xf>
    <xf numFmtId="4" fontId="245" fillId="61" borderId="61" applyProtection="0">
      <alignment horizontal="right" vertical="top"/>
    </xf>
    <xf numFmtId="49" fontId="241" fillId="83" borderId="23" applyProtection="0">
      <alignment horizontal="left" vertical="top" wrapText="1"/>
    </xf>
    <xf numFmtId="49" fontId="241" fillId="83" borderId="23" applyProtection="0">
      <alignment horizontal="left" vertical="top" wrapText="1"/>
    </xf>
    <xf numFmtId="49" fontId="241" fillId="83" borderId="24" applyProtection="0">
      <alignment horizontal="left" vertical="top" wrapText="1"/>
    </xf>
    <xf numFmtId="49" fontId="241" fillId="83" borderId="24" applyProtection="0">
      <alignment horizontal="left" vertical="top" wrapText="1"/>
    </xf>
    <xf numFmtId="49" fontId="241" fillId="83" borderId="62" applyProtection="0">
      <alignment horizontal="left" vertical="top"/>
    </xf>
    <xf numFmtId="49" fontId="241" fillId="83" borderId="62" applyProtection="0">
      <alignment horizontal="left" vertical="top"/>
    </xf>
    <xf numFmtId="49" fontId="241" fillId="83" borderId="61" applyProtection="0">
      <alignment horizontal="left" vertical="top"/>
    </xf>
    <xf numFmtId="49" fontId="241" fillId="83" borderId="61" applyProtection="0">
      <alignment horizontal="left" vertical="top"/>
    </xf>
    <xf numFmtId="49" fontId="241" fillId="56" borderId="24" applyProtection="0">
      <alignment horizontal="left" vertical="top" wrapText="1"/>
    </xf>
    <xf numFmtId="49" fontId="241" fillId="56" borderId="24" applyProtection="0">
      <alignment horizontal="left" vertical="top" wrapText="1"/>
    </xf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49" fontId="241" fillId="56" borderId="21" applyProtection="0">
      <alignment horizontal="center" vertical="top"/>
    </xf>
    <xf numFmtId="49" fontId="241" fillId="56" borderId="42" applyProtection="0">
      <alignment horizontal="center" vertical="top"/>
    </xf>
    <xf numFmtId="49" fontId="241" fillId="56" borderId="21" applyProtection="0">
      <alignment horizontal="right" vertical="top"/>
    </xf>
    <xf numFmtId="49" fontId="241" fillId="56" borderId="42" applyProtection="0">
      <alignment horizontal="right" vertical="top"/>
    </xf>
    <xf numFmtId="49" fontId="241" fillId="56" borderId="42" applyProtection="0">
      <alignment horizontal="right" vertical="top"/>
    </xf>
    <xf numFmtId="49" fontId="241" fillId="56" borderId="21" applyProtection="0">
      <alignment horizontal="left" vertical="top"/>
    </xf>
    <xf numFmtId="49" fontId="241" fillId="56" borderId="21" applyProtection="0">
      <alignment horizontal="left" vertical="top"/>
    </xf>
    <xf numFmtId="49" fontId="241" fillId="56" borderId="21" applyProtection="0">
      <alignment horizontal="center" vertical="top"/>
    </xf>
    <xf numFmtId="49" fontId="241" fillId="56" borderId="42" applyProtection="0">
      <alignment horizontal="left" vertical="top"/>
    </xf>
    <xf numFmtId="49" fontId="241" fillId="56" borderId="42" applyProtection="0">
      <alignment horizontal="left" vertical="top"/>
    </xf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4" fontId="241" fillId="61" borderId="61" applyProtection="0">
      <alignment horizontal="right" vertical="top"/>
    </xf>
    <xf numFmtId="49" fontId="241" fillId="56" borderId="22" applyProtection="0">
      <alignment horizontal="left" vertical="top"/>
    </xf>
    <xf numFmtId="49" fontId="241" fillId="56" borderId="21" applyProtection="0">
      <alignment horizontal="left" vertical="top"/>
    </xf>
    <xf numFmtId="49" fontId="241" fillId="56" borderId="21" applyProtection="0">
      <alignment horizontal="left" vertical="top"/>
    </xf>
    <xf numFmtId="49" fontId="241" fillId="56" borderId="21" applyProtection="0">
      <alignment horizontal="left" vertical="top"/>
    </xf>
    <xf numFmtId="49" fontId="241" fillId="56" borderId="23" applyProtection="0">
      <alignment horizontal="left" vertical="top" wrapText="1"/>
    </xf>
    <xf numFmtId="4" fontId="241" fillId="61" borderId="61" applyProtection="0">
      <alignment horizontal="right" vertical="top"/>
    </xf>
    <xf numFmtId="49" fontId="241" fillId="56" borderId="22" applyProtection="0">
      <alignment horizontal="left" vertical="top"/>
    </xf>
    <xf numFmtId="49" fontId="241" fillId="56" borderId="22" applyProtection="0">
      <alignment horizontal="left" vertical="top"/>
    </xf>
    <xf numFmtId="49" fontId="241" fillId="61" borderId="61" applyProtection="0">
      <alignment horizontal="right" vertical="top"/>
    </xf>
    <xf numFmtId="49" fontId="241" fillId="56" borderId="24" applyProtection="0">
      <alignment horizontal="left" vertical="top" wrapText="1"/>
    </xf>
    <xf numFmtId="4" fontId="241" fillId="81" borderId="61" applyProtection="0">
      <alignment horizontal="right" vertical="top"/>
    </xf>
    <xf numFmtId="49" fontId="241" fillId="56" borderId="23" applyProtection="0">
      <alignment horizontal="left" vertical="top" wrapText="1"/>
    </xf>
    <xf numFmtId="49" fontId="241" fillId="56" borderId="23" applyProtection="0">
      <alignment horizontal="left" vertical="top" wrapText="1"/>
    </xf>
    <xf numFmtId="0" fontId="9" fillId="84" borderId="0" applyNumberFormat="0" applyBorder="0" applyAlignment="0" applyProtection="0"/>
    <xf numFmtId="0" fontId="9" fillId="84" borderId="0" applyNumberFormat="0" applyBorder="0" applyAlignment="0" applyProtection="0"/>
    <xf numFmtId="0" fontId="10" fillId="85" borderId="0" applyNumberFormat="0" applyBorder="0" applyAlignment="0" applyProtection="0"/>
    <xf numFmtId="0" fontId="9" fillId="86" borderId="0" applyNumberFormat="0" applyBorder="0" applyAlignment="0" applyProtection="0"/>
    <xf numFmtId="0" fontId="9" fillId="87" borderId="0" applyNumberFormat="0" applyBorder="0" applyAlignment="0" applyProtection="0"/>
    <xf numFmtId="0" fontId="10" fillId="88" borderId="0" applyNumberFormat="0" applyBorder="0" applyAlignment="0" applyProtection="0"/>
    <xf numFmtId="0" fontId="9" fillId="86" borderId="0" applyNumberFormat="0" applyBorder="0" applyAlignment="0" applyProtection="0"/>
    <xf numFmtId="0" fontId="9" fillId="89" borderId="0" applyNumberFormat="0" applyBorder="0" applyAlignment="0" applyProtection="0"/>
    <xf numFmtId="0" fontId="10" fillId="87" borderId="0" applyNumberFormat="0" applyBorder="0" applyAlignment="0" applyProtection="0"/>
    <xf numFmtId="0" fontId="9" fillId="84" borderId="0" applyNumberFormat="0" applyBorder="0" applyAlignment="0" applyProtection="0"/>
    <xf numFmtId="0" fontId="9" fillId="87" borderId="0" applyNumberFormat="0" applyBorder="0" applyAlignment="0" applyProtection="0"/>
    <xf numFmtId="0" fontId="10" fillId="87" borderId="0" applyNumberFormat="0" applyBorder="0" applyAlignment="0" applyProtection="0"/>
    <xf numFmtId="0" fontId="9" fillId="90" borderId="0" applyNumberFormat="0" applyBorder="0" applyAlignment="0" applyProtection="0"/>
    <xf numFmtId="0" fontId="9" fillId="84" borderId="0" applyNumberFormat="0" applyBorder="0" applyAlignment="0" applyProtection="0"/>
    <xf numFmtId="0" fontId="10" fillId="85" borderId="0" applyNumberFormat="0" applyBorder="0" applyAlignment="0" applyProtection="0"/>
    <xf numFmtId="0" fontId="9" fillId="86" borderId="0" applyNumberFormat="0" applyBorder="0" applyAlignment="0" applyProtection="0"/>
    <xf numFmtId="0" fontId="9" fillId="91" borderId="0" applyNumberFormat="0" applyBorder="0" applyAlignment="0" applyProtection="0"/>
    <xf numFmtId="0" fontId="10" fillId="91" borderId="0" applyNumberFormat="0" applyBorder="0" applyAlignment="0" applyProtection="0"/>
    <xf numFmtId="0" fontId="124" fillId="0" borderId="0"/>
    <xf numFmtId="1" fontId="52" fillId="0" borderId="23">
      <alignment horizontal="right"/>
    </xf>
    <xf numFmtId="0" fontId="55" fillId="0" borderId="0">
      <alignment horizontal="center" wrapText="1"/>
      <protection locked="0"/>
    </xf>
    <xf numFmtId="0" fontId="189" fillId="16" borderId="26" applyNumberFormat="0" applyFont="0" applyBorder="0" applyAlignment="0" applyProtection="0">
      <protection hidden="1"/>
    </xf>
    <xf numFmtId="0" fontId="86" fillId="0" borderId="5">
      <alignment horizontal="centerContinuous"/>
    </xf>
    <xf numFmtId="225" fontId="94" fillId="0" borderId="0">
      <alignment horizontal="right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5" fillId="66" borderId="35"/>
    <xf numFmtId="3" fontId="97" fillId="0" borderId="37">
      <alignment horizontal="center"/>
    </xf>
    <xf numFmtId="0" fontId="246" fillId="0" borderId="64">
      <alignment horizontal="left"/>
    </xf>
    <xf numFmtId="0" fontId="247" fillId="0" borderId="64">
      <alignment horizontal="left" wrapText="1"/>
    </xf>
    <xf numFmtId="0" fontId="15" fillId="4" borderId="0" applyNumberFormat="0" applyBorder="0" applyAlignment="0" applyProtection="0"/>
    <xf numFmtId="37" fontId="108" fillId="0" borderId="40" applyNumberFormat="0" applyFont="0" applyFill="0" applyAlignment="0" applyProtection="0"/>
    <xf numFmtId="0" fontId="98" fillId="0" borderId="5" applyNumberFormat="0" applyFont="0" applyFill="0" applyAlignment="0" applyProtection="0"/>
    <xf numFmtId="171" fontId="94" fillId="0" borderId="40"/>
    <xf numFmtId="170" fontId="94" fillId="0" borderId="40"/>
    <xf numFmtId="0" fontId="109" fillId="0" borderId="5">
      <alignment horizontal="centerContinuous"/>
    </xf>
    <xf numFmtId="0" fontId="86" fillId="0" borderId="0">
      <alignment horizontal="center"/>
    </xf>
    <xf numFmtId="0" fontId="86" fillId="0" borderId="0">
      <alignment horizontal="center"/>
    </xf>
    <xf numFmtId="0" fontId="86" fillId="0" borderId="0">
      <alignment horizontal="center"/>
    </xf>
    <xf numFmtId="0" fontId="86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14" fontId="111" fillId="0" borderId="0"/>
    <xf numFmtId="14" fontId="111" fillId="0" borderId="0"/>
    <xf numFmtId="14" fontId="111" fillId="0" borderId="0"/>
    <xf numFmtId="14" fontId="111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14" fontId="7" fillId="0" borderId="0"/>
    <xf numFmtId="14" fontId="7" fillId="0" borderId="0"/>
    <xf numFmtId="14" fontId="7" fillId="0" borderId="0"/>
    <xf numFmtId="14" fontId="7" fillId="0" borderId="0"/>
    <xf numFmtId="14" fontId="7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37" fontId="56" fillId="0" borderId="0">
      <alignment horizontal="center"/>
    </xf>
    <xf numFmtId="0" fontId="56" fillId="0" borderId="0"/>
    <xf numFmtId="236" fontId="7" fillId="0" borderId="0" applyFill="0" applyBorder="0" applyAlignment="0"/>
    <xf numFmtId="232" fontId="7" fillId="0" borderId="0" applyFill="0" applyBorder="0" applyAlignment="0"/>
    <xf numFmtId="233" fontId="7" fillId="0" borderId="0" applyFill="0" applyBorder="0" applyAlignment="0"/>
    <xf numFmtId="234" fontId="7" fillId="0" borderId="0" applyFill="0" applyBorder="0" applyAlignment="0"/>
    <xf numFmtId="235" fontId="7" fillId="0" borderId="0" applyFill="0" applyBorder="0" applyAlignment="0"/>
    <xf numFmtId="236" fontId="7" fillId="0" borderId="0" applyFill="0" applyBorder="0" applyAlignment="0"/>
    <xf numFmtId="237" fontId="7" fillId="0" borderId="0" applyFill="0" applyBorder="0" applyAlignment="0"/>
    <xf numFmtId="232" fontId="7" fillId="0" borderId="0" applyFill="0" applyBorder="0" applyAlignment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247" fillId="0" borderId="65">
      <alignment horizontal="right" vertical="center"/>
    </xf>
    <xf numFmtId="0" fontId="13" fillId="17" borderId="2" applyNumberFormat="0" applyAlignment="0" applyProtection="0"/>
    <xf numFmtId="0" fontId="20" fillId="0" borderId="3" applyNumberFormat="0" applyFill="0" applyAlignment="0" applyProtection="0"/>
    <xf numFmtId="0" fontId="246" fillId="92" borderId="1">
      <alignment horizontal="center" vertical="center" wrapText="1"/>
    </xf>
    <xf numFmtId="171" fontId="56" fillId="0" borderId="0"/>
    <xf numFmtId="240" fontId="87" fillId="0" borderId="0" applyFont="0"/>
    <xf numFmtId="38" fontId="7" fillId="0" borderId="0" applyFont="0" applyFill="0" applyBorder="0" applyAlignment="0" applyProtection="0"/>
    <xf numFmtId="236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240" fillId="0" borderId="0" applyFont="0" applyFill="0" applyBorder="0" applyAlignment="0" applyProtection="0"/>
    <xf numFmtId="170" fontId="240" fillId="0" borderId="0" applyFont="0" applyFill="0" applyBorder="0" applyAlignment="0" applyProtection="0"/>
    <xf numFmtId="170" fontId="240" fillId="0" borderId="0" applyFont="0" applyFill="0" applyBorder="0" applyAlignment="0" applyProtection="0"/>
    <xf numFmtId="170" fontId="240" fillId="0" borderId="0" applyFont="0" applyFill="0" applyBorder="0" applyAlignment="0" applyProtection="0"/>
    <xf numFmtId="170" fontId="240" fillId="0" borderId="0" applyFont="0" applyFill="0" applyBorder="0" applyAlignment="0" applyProtection="0"/>
    <xf numFmtId="170" fontId="240" fillId="0" borderId="0" applyFont="0" applyFill="0" applyBorder="0" applyAlignment="0" applyProtection="0"/>
    <xf numFmtId="170" fontId="240" fillId="0" borderId="0" applyFont="0" applyFill="0" applyBorder="0" applyAlignment="0" applyProtection="0"/>
    <xf numFmtId="170" fontId="240" fillId="0" borderId="0" applyFont="0" applyFill="0" applyBorder="0" applyAlignment="0" applyProtection="0"/>
    <xf numFmtId="170" fontId="240" fillId="0" borderId="0" applyFont="0" applyFill="0" applyBorder="0" applyAlignment="0" applyProtection="0"/>
    <xf numFmtId="43" fontId="4" fillId="0" borderId="0" applyFont="0" applyFill="0" applyBorder="0" applyAlignment="0" applyProtection="0"/>
    <xf numFmtId="298" fontId="58" fillId="0" borderId="0" applyFont="0" applyFill="0" applyBorder="0" applyAlignment="0" applyProtection="0"/>
    <xf numFmtId="170" fontId="240" fillId="0" borderId="0" applyFont="0" applyFill="0" applyBorder="0" applyAlignment="0" applyProtection="0"/>
    <xf numFmtId="170" fontId="240" fillId="0" borderId="0" applyFont="0" applyFill="0" applyBorder="0" applyAlignment="0" applyProtection="0"/>
    <xf numFmtId="170" fontId="240" fillId="0" borderId="0" applyFont="0" applyFill="0" applyBorder="0" applyAlignment="0" applyProtection="0"/>
    <xf numFmtId="170" fontId="240" fillId="0" borderId="0" applyFont="0" applyFill="0" applyBorder="0" applyAlignment="0" applyProtection="0"/>
    <xf numFmtId="170" fontId="240" fillId="0" borderId="0" applyFont="0" applyFill="0" applyBorder="0" applyAlignment="0" applyProtection="0"/>
    <xf numFmtId="170" fontId="240" fillId="0" borderId="0" applyFont="0" applyFill="0" applyBorder="0" applyAlignment="0" applyProtection="0"/>
    <xf numFmtId="170" fontId="240" fillId="0" borderId="0" applyFont="0" applyFill="0" applyBorder="0" applyAlignment="0" applyProtection="0"/>
    <xf numFmtId="170" fontId="240" fillId="0" borderId="0" applyFont="0" applyFill="0" applyBorder="0" applyAlignment="0" applyProtection="0"/>
    <xf numFmtId="170" fontId="240" fillId="0" borderId="0" applyFont="0" applyFill="0" applyBorder="0" applyAlignment="0" applyProtection="0"/>
    <xf numFmtId="170" fontId="24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40" fillId="0" borderId="0" applyFont="0" applyFill="0" applyBorder="0" applyAlignment="0" applyProtection="0"/>
    <xf numFmtId="170" fontId="240" fillId="0" borderId="0" applyFont="0" applyFill="0" applyBorder="0" applyAlignment="0" applyProtection="0"/>
    <xf numFmtId="170" fontId="240" fillId="0" borderId="0" applyFont="0" applyFill="0" applyBorder="0" applyAlignment="0" applyProtection="0"/>
    <xf numFmtId="170" fontId="240" fillId="0" borderId="0" applyFont="0" applyFill="0" applyBorder="0" applyAlignment="0" applyProtection="0"/>
    <xf numFmtId="170" fontId="240" fillId="0" borderId="0" applyFont="0" applyFill="0" applyBorder="0" applyAlignment="0" applyProtection="0"/>
    <xf numFmtId="170" fontId="240" fillId="0" borderId="0" applyFont="0" applyFill="0" applyBorder="0" applyAlignment="0" applyProtection="0"/>
    <xf numFmtId="170" fontId="240" fillId="0" borderId="0" applyFont="0" applyFill="0" applyBorder="0" applyAlignment="0" applyProtection="0"/>
    <xf numFmtId="170" fontId="240" fillId="0" borderId="0" applyFont="0" applyFill="0" applyBorder="0" applyAlignment="0" applyProtection="0"/>
    <xf numFmtId="170" fontId="240" fillId="0" borderId="0" applyFont="0" applyFill="0" applyBorder="0" applyAlignment="0" applyProtection="0"/>
    <xf numFmtId="170" fontId="24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24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249" fillId="0" borderId="0" applyNumberFormat="0" applyAlignment="0">
      <alignment horizontal="left"/>
    </xf>
    <xf numFmtId="0" fontId="53" fillId="0" borderId="0" applyNumberFormat="0" applyAlignment="0"/>
    <xf numFmtId="211" fontId="7" fillId="0" borderId="0">
      <alignment horizontal="right"/>
    </xf>
    <xf numFmtId="164" fontId="7" fillId="0" borderId="0" applyFont="0" applyFill="0" applyBorder="0" applyAlignment="0" applyProtection="0"/>
    <xf numFmtId="232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347" fontId="7" fillId="56" borderId="0" applyFont="0" applyBorder="0"/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250" fillId="0" borderId="64">
      <alignment horizontal="left"/>
    </xf>
    <xf numFmtId="0" fontId="251" fillId="0" borderId="64">
      <alignment horizontal="left" wrapText="1"/>
    </xf>
    <xf numFmtId="348" fontId="56" fillId="0" borderId="0"/>
    <xf numFmtId="16" fontId="56" fillId="0" borderId="0"/>
    <xf numFmtId="17" fontId="56" fillId="0" borderId="0"/>
    <xf numFmtId="0" fontId="130" fillId="70" borderId="25" applyNumberFormat="0" applyBorder="0" applyAlignment="0">
      <alignment horizontal="center"/>
      <protection hidden="1"/>
    </xf>
    <xf numFmtId="263" fontId="7" fillId="0" borderId="0" applyFont="0" applyFill="0" applyBorder="0" applyAlignment="0" applyProtection="0"/>
    <xf numFmtId="0" fontId="24" fillId="93" borderId="0" applyNumberFormat="0" applyBorder="0" applyAlignment="0" applyProtection="0"/>
    <xf numFmtId="0" fontId="24" fillId="94" borderId="0" applyNumberFormat="0" applyBorder="0" applyAlignment="0" applyProtection="0"/>
    <xf numFmtId="0" fontId="24" fillId="95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236" fontId="7" fillId="0" borderId="0" applyFill="0" applyBorder="0" applyAlignment="0"/>
    <xf numFmtId="232" fontId="7" fillId="0" borderId="0" applyFill="0" applyBorder="0" applyAlignment="0"/>
    <xf numFmtId="236" fontId="7" fillId="0" borderId="0" applyFill="0" applyBorder="0" applyAlignment="0"/>
    <xf numFmtId="237" fontId="7" fillId="0" borderId="0" applyFill="0" applyBorder="0" applyAlignment="0"/>
    <xf numFmtId="232" fontId="7" fillId="0" borderId="0" applyFill="0" applyBorder="0" applyAlignment="0"/>
    <xf numFmtId="0" fontId="252" fillId="0" borderId="0" applyNumberFormat="0" applyAlignment="0">
      <alignment horizontal="left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7" fillId="0" borderId="0"/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/>
    <xf numFmtId="0" fontId="7" fillId="0" borderId="0"/>
    <xf numFmtId="0" fontId="58" fillId="0" borderId="23" applyBorder="0"/>
    <xf numFmtId="0" fontId="7" fillId="0" borderId="0"/>
    <xf numFmtId="269" fontId="56" fillId="0" borderId="0"/>
    <xf numFmtId="269" fontId="56" fillId="0" borderId="0"/>
    <xf numFmtId="269" fontId="56" fillId="0" borderId="0"/>
    <xf numFmtId="269" fontId="56" fillId="0" borderId="0"/>
    <xf numFmtId="0" fontId="7" fillId="0" borderId="0" applyNumberFormat="0" applyFill="0" applyProtection="0">
      <alignment horizontal="left"/>
    </xf>
    <xf numFmtId="0" fontId="7" fillId="0" borderId="0" applyNumberFormat="0" applyFill="0" applyProtection="0">
      <alignment horizontal="left"/>
    </xf>
    <xf numFmtId="0" fontId="7" fillId="0" borderId="0" applyNumberFormat="0" applyFill="0" applyProtection="0">
      <alignment horizontal="left"/>
    </xf>
    <xf numFmtId="0" fontId="7" fillId="0" borderId="0" applyNumberFormat="0" applyFill="0" applyProtection="0">
      <alignment horizontal="left"/>
    </xf>
    <xf numFmtId="0" fontId="7" fillId="0" borderId="0" applyNumberFormat="0" applyFill="0" applyProtection="0">
      <alignment horizontal="left"/>
    </xf>
    <xf numFmtId="212" fontId="56" fillId="0" borderId="0"/>
    <xf numFmtId="212" fontId="56" fillId="0" borderId="0"/>
    <xf numFmtId="212" fontId="56" fillId="0" borderId="0"/>
    <xf numFmtId="212" fontId="56" fillId="0" borderId="0"/>
    <xf numFmtId="212" fontId="7" fillId="0" borderId="0"/>
    <xf numFmtId="212" fontId="7" fillId="0" borderId="0"/>
    <xf numFmtId="212" fontId="7" fillId="0" borderId="0"/>
    <xf numFmtId="212" fontId="7" fillId="0" borderId="0"/>
    <xf numFmtId="212" fontId="7" fillId="0" borderId="0"/>
    <xf numFmtId="269" fontId="7" fillId="0" borderId="0"/>
    <xf numFmtId="269" fontId="7" fillId="0" borderId="0"/>
    <xf numFmtId="269" fontId="7" fillId="0" borderId="0"/>
    <xf numFmtId="269" fontId="7" fillId="0" borderId="0"/>
    <xf numFmtId="269" fontId="7" fillId="0" borderId="0"/>
    <xf numFmtId="0" fontId="7" fillId="0" borderId="0" applyNumberFormat="0" applyFill="0" applyProtection="0">
      <alignment horizontal="left"/>
    </xf>
    <xf numFmtId="0" fontId="7" fillId="0" borderId="0" applyNumberFormat="0" applyFill="0" applyProtection="0">
      <alignment horizontal="left"/>
    </xf>
    <xf numFmtId="0" fontId="7" fillId="0" borderId="0" applyNumberFormat="0" applyFill="0" applyProtection="0">
      <alignment horizontal="left"/>
    </xf>
    <xf numFmtId="0" fontId="7" fillId="0" borderId="0" applyNumberFormat="0" applyFill="0" applyProtection="0">
      <alignment horizontal="left"/>
    </xf>
    <xf numFmtId="0" fontId="7" fillId="0" borderId="0" applyNumberFormat="0" applyFill="0" applyProtection="0">
      <alignment horizontal="left"/>
    </xf>
    <xf numFmtId="0" fontId="144" fillId="0" borderId="23">
      <alignment horizontal="left" vertical="center"/>
    </xf>
    <xf numFmtId="0" fontId="7" fillId="0" borderId="46"/>
    <xf numFmtId="0" fontId="7" fillId="0" borderId="46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91" fillId="57" borderId="50">
      <alignment horizontal="left" vertical="center" wrapText="1"/>
    </xf>
    <xf numFmtId="346" fontId="253" fillId="0" borderId="0" applyFont="0" applyFill="0" applyBorder="0" applyAlignment="0" applyProtection="0"/>
    <xf numFmtId="349" fontId="253" fillId="0" borderId="0" applyFont="0" applyFill="0" applyBorder="0" applyAlignment="0" applyProtection="0"/>
    <xf numFmtId="3" fontId="161" fillId="61" borderId="23">
      <alignment horizontal="left" vertical="center"/>
    </xf>
    <xf numFmtId="236" fontId="7" fillId="0" borderId="0" applyFill="0" applyBorder="0" applyAlignment="0"/>
    <xf numFmtId="232" fontId="7" fillId="0" borderId="0" applyFill="0" applyBorder="0" applyAlignment="0"/>
    <xf numFmtId="236" fontId="7" fillId="0" borderId="0" applyFill="0" applyBorder="0" applyAlignment="0"/>
    <xf numFmtId="237" fontId="7" fillId="0" borderId="0" applyFill="0" applyBorder="0" applyAlignment="0"/>
    <xf numFmtId="232" fontId="7" fillId="0" borderId="0" applyFill="0" applyBorder="0" applyAlignment="0"/>
    <xf numFmtId="0" fontId="137" fillId="56" borderId="51" applyNumberFormat="0" applyFont="0" applyBorder="0" applyAlignment="0" applyProtection="0">
      <alignment vertical="top"/>
    </xf>
    <xf numFmtId="3" fontId="166" fillId="56" borderId="25">
      <alignment horizontal="center"/>
    </xf>
    <xf numFmtId="38" fontId="72" fillId="0" borderId="0" applyFont="0" applyFill="0" applyBorder="0" applyAlignment="0" applyProtection="0"/>
    <xf numFmtId="40" fontId="72" fillId="0" borderId="0" applyFont="0" applyFill="0" applyBorder="0" applyAlignment="0" applyProtection="0"/>
    <xf numFmtId="350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51" fontId="7" fillId="0" borderId="0" applyFont="0" applyFill="0" applyBorder="0" applyAlignment="0" applyProtection="0"/>
    <xf numFmtId="352" fontId="7" fillId="0" borderId="0" applyFont="0" applyFill="0" applyBorder="0" applyAlignment="0" applyProtection="0"/>
    <xf numFmtId="281" fontId="7" fillId="0" borderId="0"/>
    <xf numFmtId="281" fontId="7" fillId="0" borderId="0"/>
    <xf numFmtId="281" fontId="7" fillId="0" borderId="0"/>
    <xf numFmtId="281" fontId="7" fillId="0" borderId="0"/>
    <xf numFmtId="281" fontId="7" fillId="0" borderId="0"/>
    <xf numFmtId="0" fontId="169" fillId="0" borderId="51">
      <protection locked="0" hidden="1"/>
    </xf>
    <xf numFmtId="0" fontId="21" fillId="22" borderId="0" applyNumberFormat="0" applyBorder="0" applyAlignment="0" applyProtection="0"/>
    <xf numFmtId="0" fontId="58" fillId="0" borderId="0"/>
    <xf numFmtId="0" fontId="254" fillId="0" borderId="0"/>
    <xf numFmtId="0" fontId="254" fillId="0" borderId="0"/>
    <xf numFmtId="0" fontId="254" fillId="0" borderId="0"/>
    <xf numFmtId="0" fontId="254" fillId="0" borderId="0"/>
    <xf numFmtId="0" fontId="254" fillId="0" borderId="0"/>
    <xf numFmtId="0" fontId="254" fillId="0" borderId="0"/>
    <xf numFmtId="0" fontId="254" fillId="0" borderId="0"/>
    <xf numFmtId="0" fontId="254" fillId="0" borderId="0"/>
    <xf numFmtId="0" fontId="82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9" fillId="0" borderId="0"/>
    <xf numFmtId="0" fontId="4" fillId="0" borderId="0"/>
    <xf numFmtId="0" fontId="7" fillId="0" borderId="0"/>
    <xf numFmtId="0" fontId="4" fillId="0" borderId="0"/>
    <xf numFmtId="189" fontId="7" fillId="0" borderId="0" applyFont="0" applyFill="0" applyBorder="0" applyAlignment="0" applyProtection="0"/>
    <xf numFmtId="0" fontId="7" fillId="0" borderId="0"/>
    <xf numFmtId="0" fontId="58" fillId="0" borderId="0">
      <alignment horizontal="center" vertical="center"/>
    </xf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9" fillId="23" borderId="4" applyNumberFormat="0" applyFont="0" applyAlignment="0" applyProtection="0"/>
    <xf numFmtId="0" fontId="7" fillId="23" borderId="4" applyNumberFormat="0" applyFont="0" applyAlignment="0" applyProtection="0"/>
    <xf numFmtId="0" fontId="9" fillId="23" borderId="4" applyNumberFormat="0" applyFont="0" applyAlignment="0" applyProtection="0"/>
    <xf numFmtId="0" fontId="9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40" fontId="7" fillId="0" borderId="0">
      <protection locked="0"/>
    </xf>
    <xf numFmtId="0" fontId="7" fillId="0" borderId="0">
      <protection locked="0"/>
    </xf>
    <xf numFmtId="287" fontId="56" fillId="0" borderId="0">
      <protection locked="0"/>
    </xf>
    <xf numFmtId="0" fontId="247" fillId="0" borderId="66">
      <alignment horizontal="left" vertical="center" wrapText="1"/>
    </xf>
    <xf numFmtId="14" fontId="55" fillId="0" borderId="0">
      <alignment horizontal="center" wrapText="1"/>
      <protection locked="0"/>
    </xf>
    <xf numFmtId="292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48" fillId="0" borderId="0" applyFont="0" applyFill="0" applyBorder="0" applyAlignment="0" applyProtection="0"/>
    <xf numFmtId="9" fontId="25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40" fillId="0" borderId="0" applyFont="0" applyFill="0" applyBorder="0" applyAlignment="0" applyProtection="0"/>
    <xf numFmtId="9" fontId="240" fillId="0" borderId="0" applyFont="0" applyFill="0" applyBorder="0" applyAlignment="0" applyProtection="0"/>
    <xf numFmtId="10" fontId="72" fillId="0" borderId="0" applyFont="0" applyFill="0" applyBorder="0" applyAlignment="0" applyProtection="0"/>
    <xf numFmtId="304" fontId="7" fillId="0" borderId="21" applyFont="0" applyFill="0" applyBorder="0" applyAlignment="0" applyProtection="0"/>
    <xf numFmtId="225" fontId="7" fillId="0" borderId="21" applyFont="0" applyFill="0" applyBorder="0" applyAlignment="0" applyProtection="0"/>
    <xf numFmtId="10" fontId="160" fillId="0" borderId="37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" fillId="0" borderId="0" applyFont="0" applyFill="0" applyBorder="0" applyAlignment="0" applyProtection="0"/>
    <xf numFmtId="236" fontId="7" fillId="0" borderId="0" applyFill="0" applyBorder="0" applyAlignment="0"/>
    <xf numFmtId="232" fontId="7" fillId="0" borderId="0" applyFill="0" applyBorder="0" applyAlignment="0"/>
    <xf numFmtId="236" fontId="7" fillId="0" borderId="0" applyFill="0" applyBorder="0" applyAlignment="0"/>
    <xf numFmtId="237" fontId="7" fillId="0" borderId="0" applyFill="0" applyBorder="0" applyAlignment="0"/>
    <xf numFmtId="232" fontId="7" fillId="0" borderId="0" applyFill="0" applyBorder="0" applyAlignment="0"/>
    <xf numFmtId="3" fontId="160" fillId="0" borderId="37"/>
    <xf numFmtId="3" fontId="194" fillId="0" borderId="37"/>
    <xf numFmtId="189" fontId="7" fillId="77" borderId="0" applyFill="0" applyBorder="0" applyAlignment="0" applyProtection="0"/>
    <xf numFmtId="14" fontId="198" fillId="0" borderId="0" applyNumberFormat="0" applyFill="0" applyBorder="0" applyAlignment="0" applyProtection="0">
      <alignment horizontal="left"/>
    </xf>
    <xf numFmtId="0" fontId="247" fillId="0" borderId="65">
      <alignment horizontal="left" vertical="center" wrapText="1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7" fillId="0" borderId="31">
      <protection locked="0"/>
    </xf>
    <xf numFmtId="0" fontId="7" fillId="0" borderId="31">
      <protection locked="0"/>
    </xf>
    <xf numFmtId="0" fontId="7" fillId="0" borderId="31">
      <protection locked="0"/>
    </xf>
    <xf numFmtId="0" fontId="7" fillId="0" borderId="31">
      <protection locked="0"/>
    </xf>
    <xf numFmtId="0" fontId="7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89" fontId="7" fillId="0" borderId="0"/>
    <xf numFmtId="189" fontId="7" fillId="0" borderId="0"/>
    <xf numFmtId="189" fontId="7" fillId="0" borderId="0"/>
    <xf numFmtId="189" fontId="7" fillId="0" borderId="0"/>
    <xf numFmtId="189" fontId="7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189" fontId="155" fillId="0" borderId="0"/>
    <xf numFmtId="189" fontId="155" fillId="0" borderId="0"/>
    <xf numFmtId="189" fontId="155" fillId="0" borderId="0"/>
    <xf numFmtId="189" fontId="155" fillId="0" borderId="0"/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53" fillId="0" borderId="31">
      <alignment horizontal="centerContinuous"/>
    </xf>
    <xf numFmtId="0" fontId="53" fillId="0" borderId="31">
      <alignment horizontal="centerContinuous"/>
    </xf>
    <xf numFmtId="0" fontId="53" fillId="0" borderId="31">
      <alignment horizontal="centerContinuous"/>
    </xf>
    <xf numFmtId="0" fontId="53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protection locked="0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31">
      <alignment horizontal="centerContinuous"/>
    </xf>
    <xf numFmtId="0" fontId="155" fillId="0" borderId="0"/>
    <xf numFmtId="0" fontId="155" fillId="0" borderId="0"/>
    <xf numFmtId="0" fontId="155" fillId="0" borderId="0"/>
    <xf numFmtId="0" fontId="155" fillId="0" borderId="0"/>
    <xf numFmtId="0" fontId="22" fillId="16" borderId="6" applyNumberFormat="0" applyAlignment="0" applyProtection="0"/>
    <xf numFmtId="0" fontId="22" fillId="16" borderId="6" applyNumberFormat="0" applyAlignment="0" applyProtection="0"/>
    <xf numFmtId="0" fontId="22" fillId="16" borderId="6" applyNumberFormat="0" applyAlignment="0" applyProtection="0"/>
    <xf numFmtId="0" fontId="22" fillId="16" borderId="6" applyNumberFormat="0" applyAlignment="0" applyProtection="0"/>
    <xf numFmtId="0" fontId="22" fillId="16" borderId="6" applyNumberFormat="0" applyAlignment="0" applyProtection="0"/>
    <xf numFmtId="4" fontId="92" fillId="69" borderId="67" applyNumberFormat="0" applyProtection="0">
      <alignment vertical="center"/>
    </xf>
    <xf numFmtId="4" fontId="74" fillId="69" borderId="67" applyNumberFormat="0" applyProtection="0">
      <alignment horizontal="left" vertical="center" indent="1"/>
    </xf>
    <xf numFmtId="4" fontId="74" fillId="70" borderId="0" applyNumberFormat="0" applyProtection="0">
      <alignment horizontal="left" vertical="center" indent="1"/>
    </xf>
    <xf numFmtId="4" fontId="74" fillId="81" borderId="67" applyNumberFormat="0" applyProtection="0">
      <alignment horizontal="right" vertical="center"/>
    </xf>
    <xf numFmtId="4" fontId="92" fillId="64" borderId="67" applyNumberFormat="0" applyProtection="0">
      <alignment horizontal="left" vertical="center" indent="1"/>
    </xf>
    <xf numFmtId="18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256" fillId="0" borderId="0" applyNumberFormat="0" applyFill="0" applyBorder="0" applyAlignment="0" applyProtection="0"/>
    <xf numFmtId="0" fontId="246" fillId="0" borderId="0">
      <alignment horizontal="left" vertical="center" wrapText="1"/>
    </xf>
    <xf numFmtId="171" fontId="56" fillId="0" borderId="40"/>
    <xf numFmtId="0" fontId="56" fillId="0" borderId="40"/>
    <xf numFmtId="170" fontId="56" fillId="0" borderId="40"/>
    <xf numFmtId="0" fontId="72" fillId="0" borderId="0"/>
    <xf numFmtId="352" fontId="7" fillId="0" borderId="0">
      <alignment horizontal="center"/>
    </xf>
    <xf numFmtId="0" fontId="7" fillId="0" borderId="0"/>
    <xf numFmtId="312" fontId="7" fillId="0" borderId="0" applyFill="0" applyBorder="0" applyAlignment="0" applyProtection="0">
      <alignment wrapText="1"/>
    </xf>
    <xf numFmtId="40" fontId="257" fillId="0" borderId="0" applyBorder="0">
      <alignment horizontal="right"/>
    </xf>
    <xf numFmtId="0" fontId="86" fillId="0" borderId="5">
      <alignment horizontal="center"/>
    </xf>
    <xf numFmtId="0" fontId="86" fillId="0" borderId="5">
      <alignment horizontal="center"/>
    </xf>
    <xf numFmtId="0" fontId="86" fillId="0" borderId="5">
      <alignment horizontal="center"/>
    </xf>
    <xf numFmtId="0" fontId="86" fillId="0" borderId="5">
      <alignment horizontal="center"/>
    </xf>
    <xf numFmtId="0" fontId="86" fillId="0" borderId="5">
      <alignment horizontal="center"/>
    </xf>
    <xf numFmtId="0" fontId="86" fillId="0" borderId="5">
      <alignment horizontal="center"/>
    </xf>
    <xf numFmtId="0" fontId="86" fillId="0" borderId="5">
      <alignment horizontal="center"/>
    </xf>
    <xf numFmtId="0" fontId="86" fillId="0" borderId="5">
      <alignment horizontal="center"/>
    </xf>
    <xf numFmtId="0" fontId="86" fillId="0" borderId="5">
      <alignment horizontal="center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140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86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7" fillId="0" borderId="5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5">
      <alignment horizontal="center"/>
    </xf>
    <xf numFmtId="0" fontId="7" fillId="0" borderId="5">
      <alignment horizontal="center"/>
    </xf>
    <xf numFmtId="0" fontId="7" fillId="0" borderId="5">
      <alignment horizontal="center"/>
    </xf>
    <xf numFmtId="0" fontId="7" fillId="0" borderId="5">
      <alignment horizontal="center"/>
    </xf>
    <xf numFmtId="0" fontId="7" fillId="0" borderId="5">
      <alignment horizontal="center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86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7" fillId="0" borderId="31">
      <alignment horizontal="centerContinuous"/>
    </xf>
    <xf numFmtId="0" fontId="86" fillId="0" borderId="5">
      <alignment horizontal="center"/>
    </xf>
    <xf numFmtId="314" fontId="7" fillId="0" borderId="0" applyFill="0" applyBorder="0" applyAlignment="0"/>
    <xf numFmtId="315" fontId="7" fillId="0" borderId="0" applyFill="0" applyBorder="0" applyAlignment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6" fillId="0" borderId="5">
      <alignment horizontal="centerContinuous"/>
    </xf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177" fontId="220" fillId="0" borderId="51"/>
    <xf numFmtId="0" fontId="23" fillId="0" borderId="0" applyNumberFormat="0" applyFill="0" applyBorder="0" applyAlignment="0" applyProtection="0"/>
    <xf numFmtId="177" fontId="220" fillId="0" borderId="51"/>
    <xf numFmtId="177" fontId="220" fillId="0" borderId="51"/>
    <xf numFmtId="177" fontId="220" fillId="0" borderId="51"/>
    <xf numFmtId="177" fontId="220" fillId="0" borderId="51"/>
    <xf numFmtId="177" fontId="220" fillId="0" borderId="51"/>
    <xf numFmtId="177" fontId="220" fillId="0" borderId="51"/>
    <xf numFmtId="177" fontId="220" fillId="0" borderId="51"/>
    <xf numFmtId="177" fontId="220" fillId="0" borderId="51"/>
    <xf numFmtId="177" fontId="220" fillId="0" borderId="51"/>
    <xf numFmtId="177" fontId="220" fillId="0" borderId="51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177" fontId="220" fillId="0" borderId="51"/>
    <xf numFmtId="177" fontId="220" fillId="0" borderId="51"/>
    <xf numFmtId="177" fontId="220" fillId="0" borderId="51"/>
    <xf numFmtId="177" fontId="220" fillId="0" borderId="51"/>
    <xf numFmtId="177" fontId="220" fillId="0" borderId="51"/>
    <xf numFmtId="177" fontId="220" fillId="0" borderId="51"/>
    <xf numFmtId="177" fontId="220" fillId="0" borderId="51"/>
    <xf numFmtId="177" fontId="220" fillId="0" borderId="51"/>
    <xf numFmtId="177" fontId="220" fillId="0" borderId="51"/>
    <xf numFmtId="177" fontId="220" fillId="0" borderId="51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177" fontId="220" fillId="0" borderId="51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7" fontId="220" fillId="0" borderId="51"/>
    <xf numFmtId="177" fontId="220" fillId="0" borderId="51"/>
    <xf numFmtId="0" fontId="23" fillId="0" borderId="0" applyNumberFormat="0" applyFill="0" applyBorder="0" applyAlignment="0" applyProtection="0"/>
    <xf numFmtId="177" fontId="220" fillId="0" borderId="51"/>
    <xf numFmtId="0" fontId="23" fillId="0" borderId="0" applyNumberFormat="0" applyFill="0" applyBorder="0" applyAlignment="0" applyProtection="0"/>
    <xf numFmtId="177" fontId="220" fillId="0" borderId="51"/>
    <xf numFmtId="0" fontId="23" fillId="0" borderId="0" applyNumberFormat="0" applyFill="0" applyBorder="0" applyAlignment="0" applyProtection="0"/>
    <xf numFmtId="177" fontId="220" fillId="0" borderId="51"/>
    <xf numFmtId="0" fontId="23" fillId="0" borderId="0" applyNumberFormat="0" applyFill="0" applyBorder="0" applyAlignment="0" applyProtection="0"/>
    <xf numFmtId="177" fontId="220" fillId="0" borderId="51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168" fontId="7" fillId="0" borderId="0" applyFont="0" applyFill="0" applyBorder="0" applyAlignment="0" applyProtection="0"/>
    <xf numFmtId="0" fontId="86" fillId="0" borderId="0">
      <alignment horizontal="centerContinuous"/>
    </xf>
    <xf numFmtId="0" fontId="86" fillId="0" borderId="0">
      <alignment horizontal="centerContinuous"/>
    </xf>
    <xf numFmtId="0" fontId="86" fillId="0" borderId="0">
      <alignment horizontal="centerContinuous"/>
    </xf>
    <xf numFmtId="0" fontId="86" fillId="0" borderId="0">
      <alignment horizontal="centerContinuous"/>
    </xf>
    <xf numFmtId="0" fontId="7" fillId="0" borderId="0">
      <alignment horizontal="centerContinuous"/>
    </xf>
    <xf numFmtId="0" fontId="7" fillId="0" borderId="0">
      <alignment horizontal="centerContinuous"/>
    </xf>
    <xf numFmtId="0" fontId="7" fillId="0" borderId="0">
      <alignment horizontal="centerContinuous"/>
    </xf>
    <xf numFmtId="0" fontId="7" fillId="0" borderId="0">
      <alignment horizontal="centerContinuous"/>
    </xf>
    <xf numFmtId="0" fontId="7" fillId="0" borderId="0">
      <alignment horizontal="centerContinuous"/>
    </xf>
    <xf numFmtId="0" fontId="7" fillId="0" borderId="0"/>
    <xf numFmtId="0" fontId="7" fillId="96" borderId="68"/>
    <xf numFmtId="39" fontId="53" fillId="0" borderId="0"/>
    <xf numFmtId="4" fontId="234" fillId="0" borderId="37"/>
    <xf numFmtId="319" fontId="160" fillId="0" borderId="37"/>
    <xf numFmtId="4" fontId="194" fillId="0" borderId="37"/>
    <xf numFmtId="353" fontId="253" fillId="0" borderId="0" applyFont="0" applyFill="0" applyBorder="0" applyAlignment="0" applyProtection="0"/>
    <xf numFmtId="354" fontId="253" fillId="0" borderId="0" applyFont="0" applyFill="0" applyBorder="0" applyAlignment="0" applyProtection="0"/>
    <xf numFmtId="43" fontId="49" fillId="0" borderId="0" applyFont="0" applyFill="0" applyBorder="0" applyAlignment="0" applyProtection="0"/>
    <xf numFmtId="3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26" fontId="56" fillId="0" borderId="0" applyFont="0" applyFill="0" applyBorder="0" applyAlignment="0" applyProtection="0"/>
    <xf numFmtId="325" fontId="56" fillId="0" borderId="0" applyFont="0" applyFill="0" applyBorder="0" applyAlignment="0" applyProtection="0"/>
    <xf numFmtId="326" fontId="56" fillId="0" borderId="0" applyFont="0" applyFill="0" applyBorder="0" applyAlignment="0" applyProtection="0"/>
    <xf numFmtId="326" fontId="56" fillId="0" borderId="0" applyFont="0" applyFill="0" applyBorder="0" applyAlignment="0" applyProtection="0"/>
    <xf numFmtId="325" fontId="56" fillId="0" borderId="0" applyFont="0" applyFill="0" applyBorder="0" applyAlignment="0" applyProtection="0"/>
    <xf numFmtId="326" fontId="56" fillId="0" borderId="0" applyFont="0" applyFill="0" applyBorder="0" applyAlignment="0" applyProtection="0"/>
    <xf numFmtId="325" fontId="56" fillId="0" borderId="0" applyFont="0" applyFill="0" applyBorder="0" applyAlignment="0" applyProtection="0"/>
    <xf numFmtId="326" fontId="56" fillId="0" borderId="0" applyFont="0" applyFill="0" applyBorder="0" applyAlignment="0" applyProtection="0"/>
    <xf numFmtId="326" fontId="56" fillId="0" borderId="0" applyFont="0" applyFill="0" applyBorder="0" applyAlignment="0" applyProtection="0"/>
    <xf numFmtId="325" fontId="56" fillId="0" borderId="0" applyFont="0" applyFill="0" applyBorder="0" applyAlignment="0" applyProtection="0"/>
    <xf numFmtId="326" fontId="56" fillId="0" borderId="0" applyFont="0" applyFill="0" applyBorder="0" applyAlignment="0" applyProtection="0"/>
    <xf numFmtId="327" fontId="7" fillId="0" borderId="0" applyFont="0" applyFill="0" applyBorder="0" applyAlignment="0" applyProtection="0"/>
    <xf numFmtId="327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7" fontId="7" fillId="0" borderId="0" applyFont="0" applyFill="0" applyBorder="0" applyAlignment="0" applyProtection="0"/>
    <xf numFmtId="327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7" fontId="7" fillId="0" borderId="0" applyFont="0" applyFill="0" applyBorder="0" applyAlignment="0" applyProtection="0"/>
    <xf numFmtId="327" fontId="7" fillId="0" borderId="0" applyFont="0" applyFill="0" applyBorder="0" applyAlignment="0" applyProtection="0"/>
    <xf numFmtId="327" fontId="7" fillId="0" borderId="0" applyFont="0" applyFill="0" applyBorder="0" applyAlignment="0" applyProtection="0"/>
    <xf numFmtId="327" fontId="7" fillId="0" borderId="0" applyFont="0" applyFill="0" applyBorder="0" applyAlignment="0" applyProtection="0"/>
    <xf numFmtId="327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7" fontId="7" fillId="0" borderId="0" applyFont="0" applyFill="0" applyBorder="0" applyAlignment="0" applyProtection="0"/>
    <xf numFmtId="327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7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7" fontId="7" fillId="0" borderId="0" applyFont="0" applyFill="0" applyBorder="0" applyAlignment="0" applyProtection="0"/>
    <xf numFmtId="327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7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7" fontId="7" fillId="0" borderId="0" applyFont="0" applyFill="0" applyBorder="0" applyAlignment="0" applyProtection="0"/>
    <xf numFmtId="327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8" fontId="7" fillId="0" borderId="0" applyFont="0" applyFill="0" applyBorder="0" applyAlignment="0" applyProtection="0"/>
    <xf numFmtId="326" fontId="56" fillId="0" borderId="0" applyFont="0" applyFill="0" applyBorder="0" applyAlignment="0" applyProtection="0"/>
    <xf numFmtId="326" fontId="56" fillId="0" borderId="0" applyFont="0" applyFill="0" applyBorder="0" applyAlignment="0" applyProtection="0"/>
    <xf numFmtId="325" fontId="56" fillId="0" borderId="0" applyFont="0" applyFill="0" applyBorder="0" applyAlignment="0" applyProtection="0"/>
    <xf numFmtId="326" fontId="56" fillId="0" borderId="0" applyFont="0" applyFill="0" applyBorder="0" applyAlignment="0" applyProtection="0"/>
    <xf numFmtId="329" fontId="7" fillId="0" borderId="0" applyFont="0" applyFill="0" applyBorder="0" applyAlignment="0" applyProtection="0"/>
    <xf numFmtId="329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329" fontId="7" fillId="0" borderId="0" applyFont="0" applyFill="0" applyBorder="0" applyAlignment="0" applyProtection="0"/>
    <xf numFmtId="329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329" fontId="7" fillId="0" borderId="0" applyFont="0" applyFill="0" applyBorder="0" applyAlignment="0" applyProtection="0"/>
    <xf numFmtId="329" fontId="7" fillId="0" borderId="0" applyFont="0" applyFill="0" applyBorder="0" applyAlignment="0" applyProtection="0"/>
    <xf numFmtId="329" fontId="7" fillId="0" borderId="0" applyFont="0" applyFill="0" applyBorder="0" applyAlignment="0" applyProtection="0"/>
    <xf numFmtId="329" fontId="7" fillId="0" borderId="0" applyFont="0" applyFill="0" applyBorder="0" applyAlignment="0" applyProtection="0"/>
    <xf numFmtId="329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329" fontId="7" fillId="0" borderId="0" applyFont="0" applyFill="0" applyBorder="0" applyAlignment="0" applyProtection="0"/>
    <xf numFmtId="329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329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329" fontId="7" fillId="0" borderId="0" applyFont="0" applyFill="0" applyBorder="0" applyAlignment="0" applyProtection="0"/>
    <xf numFmtId="329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329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329" fontId="7" fillId="0" borderId="0" applyFont="0" applyFill="0" applyBorder="0" applyAlignment="0" applyProtection="0"/>
    <xf numFmtId="329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330" fontId="7" fillId="0" borderId="0" applyFont="0" applyFill="0" applyBorder="0" applyAlignment="0" applyProtection="0"/>
    <xf numFmtId="1" fontId="236" fillId="0" borderId="5">
      <alignment horizontal="center"/>
    </xf>
    <xf numFmtId="355" fontId="7" fillId="0" borderId="0" applyFont="0" applyFill="0" applyBorder="0" applyAlignment="0" applyProtection="0"/>
    <xf numFmtId="355" fontId="7" fillId="0" borderId="0" applyFont="0" applyFill="0" applyBorder="0" applyAlignment="0" applyProtection="0"/>
    <xf numFmtId="0" fontId="258" fillId="0" borderId="0"/>
    <xf numFmtId="9" fontId="174" fillId="0" borderId="0" applyFont="0" applyFill="0" applyBorder="0" applyAlignment="0" applyProtection="0"/>
    <xf numFmtId="0" fontId="48" fillId="0" borderId="0"/>
    <xf numFmtId="0" fontId="4" fillId="0" borderId="0"/>
    <xf numFmtId="0" fontId="4" fillId="0" borderId="0"/>
    <xf numFmtId="0" fontId="5" fillId="0" borderId="0"/>
    <xf numFmtId="0" fontId="4" fillId="0" borderId="0"/>
    <xf numFmtId="170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" fillId="0" borderId="0"/>
    <xf numFmtId="0" fontId="7" fillId="0" borderId="0"/>
    <xf numFmtId="177" fontId="53" fillId="0" borderId="0"/>
    <xf numFmtId="177" fontId="53" fillId="0" borderId="0"/>
    <xf numFmtId="177" fontId="53" fillId="0" borderId="0"/>
    <xf numFmtId="0" fontId="11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77" fontId="53" fillId="0" borderId="0"/>
    <xf numFmtId="177" fontId="53" fillId="0" borderId="0"/>
    <xf numFmtId="177" fontId="53" fillId="0" borderId="0"/>
    <xf numFmtId="177" fontId="53" fillId="0" borderId="0"/>
    <xf numFmtId="177" fontId="53" fillId="0" borderId="0"/>
    <xf numFmtId="177" fontId="53" fillId="0" borderId="0"/>
    <xf numFmtId="177" fontId="53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4" fillId="3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10" fillId="0" borderId="0"/>
    <xf numFmtId="0" fontId="110" fillId="0" borderId="0"/>
    <xf numFmtId="0" fontId="259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3" fillId="0" borderId="0"/>
    <xf numFmtId="0" fontId="7" fillId="0" borderId="0"/>
    <xf numFmtId="0" fontId="3" fillId="0" borderId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19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59">
    <xf numFmtId="0" fontId="0" fillId="0" borderId="0" xfId="0"/>
    <xf numFmtId="173" fontId="5" fillId="0" borderId="0" xfId="1" applyNumberFormat="1"/>
    <xf numFmtId="171" fontId="5" fillId="0" borderId="0" xfId="1" applyNumberFormat="1"/>
    <xf numFmtId="173" fontId="28" fillId="0" borderId="0" xfId="0" applyNumberFormat="1" applyFont="1"/>
    <xf numFmtId="171" fontId="28" fillId="0" borderId="0" xfId="0" applyNumberFormat="1" applyFont="1"/>
    <xf numFmtId="171" fontId="28" fillId="0" borderId="0" xfId="1" applyNumberFormat="1" applyFont="1"/>
    <xf numFmtId="0" fontId="30" fillId="0" borderId="0" xfId="0" applyFont="1"/>
    <xf numFmtId="171" fontId="30" fillId="0" borderId="0" xfId="1" applyNumberFormat="1" applyFont="1"/>
    <xf numFmtId="173" fontId="28" fillId="0" borderId="0" xfId="0" applyNumberFormat="1" applyFont="1" applyAlignment="1">
      <alignment horizontal="left" indent="1"/>
    </xf>
    <xf numFmtId="0" fontId="28" fillId="0" borderId="0" xfId="0" applyFont="1" applyAlignment="1">
      <alignment horizontal="left" indent="1"/>
    </xf>
    <xf numFmtId="0" fontId="31" fillId="0" borderId="0" xfId="0" applyFont="1"/>
    <xf numFmtId="0" fontId="28" fillId="0" borderId="0" xfId="0" applyFont="1" applyAlignment="1">
      <alignment horizontal="left" indent="3"/>
    </xf>
    <xf numFmtId="171" fontId="0" fillId="0" borderId="0" xfId="1" applyNumberFormat="1" applyFont="1"/>
    <xf numFmtId="171" fontId="6" fillId="0" borderId="0" xfId="1" applyNumberFormat="1" applyFont="1"/>
    <xf numFmtId="172" fontId="0" fillId="0" borderId="0" xfId="2" applyNumberFormat="1" applyFont="1"/>
    <xf numFmtId="171" fontId="0" fillId="0" borderId="0" xfId="0" applyNumberFormat="1"/>
    <xf numFmtId="0" fontId="28" fillId="0" borderId="0" xfId="0" applyFont="1"/>
    <xf numFmtId="173" fontId="0" fillId="0" borderId="0" xfId="1" applyNumberFormat="1" applyFont="1"/>
    <xf numFmtId="171" fontId="30" fillId="0" borderId="0" xfId="0" applyNumberFormat="1" applyFont="1"/>
    <xf numFmtId="0" fontId="6" fillId="0" borderId="0" xfId="0" applyFont="1"/>
    <xf numFmtId="0" fontId="260" fillId="0" borderId="0" xfId="0" applyFont="1"/>
    <xf numFmtId="0" fontId="28" fillId="0" borderId="0" xfId="0" applyFont="1" applyAlignment="1">
      <alignment horizontal="left"/>
    </xf>
    <xf numFmtId="9" fontId="28" fillId="0" borderId="0" xfId="1" applyNumberFormat="1" applyFont="1"/>
    <xf numFmtId="173" fontId="50" fillId="0" borderId="0" xfId="1" applyNumberFormat="1" applyFont="1"/>
    <xf numFmtId="171" fontId="50" fillId="0" borderId="0" xfId="0" applyNumberFormat="1" applyFont="1"/>
    <xf numFmtId="171" fontId="50" fillId="0" borderId="0" xfId="1" applyNumberFormat="1" applyFont="1"/>
    <xf numFmtId="174" fontId="30" fillId="0" borderId="0" xfId="1" applyNumberFormat="1" applyFont="1"/>
    <xf numFmtId="9" fontId="28" fillId="0" borderId="0" xfId="2" applyFont="1"/>
    <xf numFmtId="173" fontId="0" fillId="97" borderId="0" xfId="1" applyNumberFormat="1" applyFont="1" applyFill="1"/>
    <xf numFmtId="0" fontId="30" fillId="97" borderId="0" xfId="0" applyFont="1" applyFill="1"/>
    <xf numFmtId="0" fontId="28" fillId="97" borderId="0" xfId="0" applyFont="1" applyFill="1"/>
    <xf numFmtId="0" fontId="0" fillId="97" borderId="0" xfId="0" applyFill="1"/>
    <xf numFmtId="3" fontId="0" fillId="97" borderId="0" xfId="2" applyNumberFormat="1" applyFont="1" applyFill="1"/>
    <xf numFmtId="3" fontId="6" fillId="97" borderId="0" xfId="2" applyNumberFormat="1" applyFont="1" applyFill="1"/>
    <xf numFmtId="43" fontId="28" fillId="0" borderId="0" xfId="1" applyFont="1" applyAlignment="1">
      <alignment horizontal="right" vertical="center"/>
    </xf>
    <xf numFmtId="0" fontId="0" fillId="0" borderId="0" xfId="0" applyFill="1"/>
    <xf numFmtId="173" fontId="0" fillId="0" borderId="0" xfId="1" applyNumberFormat="1" applyFont="1" applyFill="1"/>
    <xf numFmtId="171" fontId="5" fillId="0" borderId="0" xfId="1" applyNumberFormat="1" applyFill="1"/>
    <xf numFmtId="171" fontId="0" fillId="0" borderId="0" xfId="1" applyNumberFormat="1" applyFont="1" applyFill="1"/>
    <xf numFmtId="171" fontId="0" fillId="0" borderId="0" xfId="0" applyNumberFormat="1" applyFill="1"/>
    <xf numFmtId="173" fontId="0" fillId="0" borderId="0" xfId="6106" applyNumberFormat="1" applyFont="1" applyFill="1"/>
    <xf numFmtId="0" fontId="28" fillId="0" borderId="0" xfId="0" applyFont="1" applyFill="1" applyAlignment="1">
      <alignment horizontal="left" indent="3"/>
    </xf>
    <xf numFmtId="0" fontId="28" fillId="0" borderId="0" xfId="0" applyFont="1" applyFill="1"/>
    <xf numFmtId="173" fontId="6" fillId="0" borderId="0" xfId="1" applyNumberFormat="1" applyFont="1" applyFill="1"/>
    <xf numFmtId="173" fontId="0" fillId="0" borderId="0" xfId="1" applyNumberFormat="1" applyFont="1" applyFill="1" applyBorder="1"/>
    <xf numFmtId="173" fontId="0" fillId="0" borderId="0" xfId="1" applyNumberFormat="1" applyFont="1" applyFill="1" applyAlignment="1">
      <alignment horizontal="center"/>
    </xf>
    <xf numFmtId="173" fontId="0" fillId="0" borderId="0" xfId="6106" applyNumberFormat="1" applyFont="1" applyFill="1" applyAlignment="1">
      <alignment horizontal="center"/>
    </xf>
    <xf numFmtId="173" fontId="0" fillId="0" borderId="0" xfId="1" applyNumberFormat="1" applyFont="1" applyFill="1" applyAlignment="1">
      <alignment horizontal="right"/>
    </xf>
    <xf numFmtId="172" fontId="0" fillId="0" borderId="0" xfId="2" applyNumberFormat="1" applyFont="1" applyFill="1"/>
    <xf numFmtId="171" fontId="0" fillId="0" borderId="0" xfId="1" applyNumberFormat="1" applyFont="1" applyFill="1" applyAlignment="1">
      <alignment horizontal="center"/>
    </xf>
    <xf numFmtId="43" fontId="28" fillId="0" borderId="0" xfId="1" applyFont="1" applyFill="1" applyAlignment="1">
      <alignment horizontal="right" vertical="center"/>
    </xf>
    <xf numFmtId="173" fontId="5" fillId="0" borderId="0" xfId="1" applyNumberFormat="1" applyFill="1"/>
    <xf numFmtId="0" fontId="6" fillId="0" borderId="0" xfId="0" applyFont="1" applyFill="1"/>
    <xf numFmtId="3" fontId="263" fillId="0" borderId="0" xfId="0" applyNumberFormat="1" applyFont="1" applyAlignment="1">
      <alignment horizontal="right" vertical="center" wrapText="1"/>
    </xf>
    <xf numFmtId="0" fontId="0" fillId="0" borderId="0" xfId="0" applyFill="1" applyBorder="1"/>
    <xf numFmtId="3" fontId="263" fillId="0" borderId="0" xfId="0" applyNumberFormat="1" applyFont="1" applyBorder="1" applyAlignment="1">
      <alignment horizontal="right" vertical="center" wrapText="1"/>
    </xf>
    <xf numFmtId="3" fontId="264" fillId="0" borderId="0" xfId="0" applyNumberFormat="1" applyFont="1" applyBorder="1" applyAlignment="1">
      <alignment horizontal="right" vertical="center" wrapText="1"/>
    </xf>
    <xf numFmtId="0" fontId="0" fillId="0" borderId="0" xfId="0" applyFill="1" applyAlignment="1"/>
    <xf numFmtId="171" fontId="5" fillId="0" borderId="0" xfId="1" applyNumberFormat="1" applyFont="1"/>
    <xf numFmtId="3" fontId="0" fillId="0" borderId="0" xfId="0" applyNumberFormat="1" applyFill="1"/>
    <xf numFmtId="176" fontId="0" fillId="0" borderId="0" xfId="0" applyNumberFormat="1" applyFill="1"/>
    <xf numFmtId="173" fontId="0" fillId="0" borderId="0" xfId="0" applyNumberFormat="1" applyFill="1"/>
    <xf numFmtId="9" fontId="0" fillId="0" borderId="0" xfId="2" applyFont="1" applyFill="1"/>
    <xf numFmtId="3" fontId="0" fillId="0" borderId="0" xfId="0" applyNumberFormat="1"/>
    <xf numFmtId="173" fontId="0" fillId="97" borderId="0" xfId="6106" applyNumberFormat="1" applyFont="1" applyFill="1" applyAlignment="1">
      <alignment horizontal="center"/>
    </xf>
    <xf numFmtId="173" fontId="0" fillId="97" borderId="0" xfId="1" applyNumberFormat="1" applyFont="1" applyFill="1" applyAlignment="1">
      <alignment horizontal="center"/>
    </xf>
    <xf numFmtId="171" fontId="0" fillId="97" borderId="0" xfId="1" applyNumberFormat="1" applyFont="1" applyFill="1"/>
    <xf numFmtId="173" fontId="0" fillId="0" borderId="0" xfId="0" applyNumberFormat="1"/>
    <xf numFmtId="173" fontId="6" fillId="97" borderId="0" xfId="1" applyNumberFormat="1" applyFont="1" applyFill="1"/>
    <xf numFmtId="173" fontId="263" fillId="0" borderId="0" xfId="0" applyNumberFormat="1" applyFont="1" applyAlignment="1">
      <alignment horizontal="right" vertical="center" wrapText="1"/>
    </xf>
    <xf numFmtId="173" fontId="0" fillId="0" borderId="0" xfId="1" applyNumberFormat="1" applyFont="1" applyAlignment="1">
      <alignment horizontal="right"/>
    </xf>
    <xf numFmtId="3" fontId="6" fillId="0" borderId="0" xfId="2" applyNumberFormat="1" applyFont="1" applyFill="1"/>
    <xf numFmtId="0" fontId="29" fillId="98" borderId="11" xfId="0" applyFont="1" applyFill="1" applyBorder="1"/>
    <xf numFmtId="0" fontId="29" fillId="98" borderId="11" xfId="0" applyFont="1" applyFill="1" applyBorder="1" applyAlignment="1">
      <alignment horizontal="center"/>
    </xf>
    <xf numFmtId="0" fontId="29" fillId="98" borderId="70" xfId="0" applyFont="1" applyFill="1" applyBorder="1" applyAlignment="1">
      <alignment horizontal="center"/>
    </xf>
    <xf numFmtId="0" fontId="29" fillId="98" borderId="69" xfId="0" applyFont="1" applyFill="1" applyBorder="1" applyAlignment="1">
      <alignment horizontal="center"/>
    </xf>
    <xf numFmtId="0" fontId="30" fillId="99" borderId="0" xfId="0" applyFont="1" applyFill="1"/>
    <xf numFmtId="171" fontId="261" fillId="99" borderId="0" xfId="0" applyNumberFormat="1" applyFont="1" applyFill="1"/>
    <xf numFmtId="171" fontId="262" fillId="99" borderId="0" xfId="0" applyNumberFormat="1" applyFont="1" applyFill="1"/>
    <xf numFmtId="172" fontId="30" fillId="0" borderId="0" xfId="2" applyNumberFormat="1" applyFont="1"/>
    <xf numFmtId="3" fontId="5" fillId="0" borderId="0" xfId="2" applyNumberFormat="1" applyFont="1"/>
    <xf numFmtId="172" fontId="5" fillId="0" borderId="0" xfId="2" applyNumberFormat="1" applyFont="1"/>
    <xf numFmtId="0" fontId="265" fillId="0" borderId="0" xfId="0" applyFont="1"/>
    <xf numFmtId="0" fontId="31" fillId="0" borderId="0" xfId="0" applyFont="1" applyAlignment="1">
      <alignment horizontal="left" indent="1"/>
    </xf>
    <xf numFmtId="9" fontId="5" fillId="97" borderId="0" xfId="2" applyFont="1" applyFill="1"/>
    <xf numFmtId="9" fontId="5" fillId="0" borderId="0" xfId="2" applyFont="1" applyFill="1"/>
    <xf numFmtId="176" fontId="30" fillId="0" borderId="0" xfId="0" applyNumberFormat="1" applyFont="1"/>
    <xf numFmtId="0" fontId="0" fillId="0" borderId="0" xfId="0" applyFill="1" applyAlignment="1">
      <alignment horizontal="left"/>
    </xf>
    <xf numFmtId="0" fontId="0" fillId="0" borderId="0" xfId="0" applyFont="1" applyAlignment="1">
      <alignment horizontal="left" indent="1"/>
    </xf>
    <xf numFmtId="171" fontId="5" fillId="97" borderId="0" xfId="1" applyNumberFormat="1" applyFont="1" applyFill="1"/>
    <xf numFmtId="172" fontId="6" fillId="0" borderId="0" xfId="2" applyNumberFormat="1" applyFont="1"/>
    <xf numFmtId="176" fontId="6" fillId="97" borderId="0" xfId="2" applyNumberFormat="1" applyFont="1" applyFill="1"/>
    <xf numFmtId="170" fontId="28" fillId="0" borderId="0" xfId="0" applyNumberFormat="1" applyFont="1"/>
    <xf numFmtId="171" fontId="5" fillId="0" borderId="0" xfId="1" quotePrefix="1" applyNumberFormat="1" applyFont="1"/>
    <xf numFmtId="173" fontId="5" fillId="0" borderId="0" xfId="1" applyNumberFormat="1" applyFont="1"/>
    <xf numFmtId="9" fontId="28" fillId="0" borderId="0" xfId="2" applyNumberFormat="1" applyFont="1"/>
    <xf numFmtId="0" fontId="268" fillId="0" borderId="0" xfId="0" applyFont="1"/>
    <xf numFmtId="0" fontId="269" fillId="0" borderId="0" xfId="0" applyFont="1" applyFill="1"/>
    <xf numFmtId="0" fontId="269" fillId="0" borderId="0" xfId="0" applyFont="1"/>
    <xf numFmtId="0" fontId="270" fillId="98" borderId="11" xfId="0" applyFont="1" applyFill="1" applyBorder="1"/>
    <xf numFmtId="0" fontId="270" fillId="99" borderId="0" xfId="0" applyFont="1" applyFill="1"/>
    <xf numFmtId="171" fontId="268" fillId="99" borderId="0" xfId="0" applyNumberFormat="1" applyFont="1" applyFill="1"/>
    <xf numFmtId="171" fontId="271" fillId="99" borderId="0" xfId="0" applyNumberFormat="1" applyFont="1" applyFill="1"/>
    <xf numFmtId="171" fontId="268" fillId="0" borderId="0" xfId="1" applyNumberFormat="1" applyFont="1"/>
    <xf numFmtId="0" fontId="270" fillId="0" borderId="0" xfId="0" applyFont="1"/>
    <xf numFmtId="0" fontId="268" fillId="97" borderId="0" xfId="0" applyFont="1" applyFill="1"/>
    <xf numFmtId="0" fontId="270" fillId="97" borderId="0" xfId="0" applyFont="1" applyFill="1"/>
    <xf numFmtId="0" fontId="272" fillId="0" borderId="0" xfId="0" applyFont="1"/>
    <xf numFmtId="9" fontId="268" fillId="0" borderId="0" xfId="2" applyFont="1"/>
    <xf numFmtId="3" fontId="269" fillId="0" borderId="0" xfId="2" applyNumberFormat="1" applyFont="1"/>
    <xf numFmtId="172" fontId="269" fillId="0" borderId="0" xfId="2" applyNumberFormat="1" applyFont="1"/>
    <xf numFmtId="171" fontId="269" fillId="0" borderId="0" xfId="1" applyNumberFormat="1" applyFont="1"/>
    <xf numFmtId="0" fontId="269" fillId="97" borderId="0" xfId="0" applyFont="1" applyFill="1"/>
    <xf numFmtId="3" fontId="273" fillId="97" borderId="0" xfId="2" applyNumberFormat="1" applyFont="1" applyFill="1"/>
    <xf numFmtId="0" fontId="274" fillId="0" borderId="0" xfId="0" applyFont="1"/>
    <xf numFmtId="172" fontId="273" fillId="0" borderId="0" xfId="2" applyNumberFormat="1" applyFont="1"/>
    <xf numFmtId="0" fontId="268" fillId="0" borderId="0" xfId="0" applyFont="1" applyAlignment="1">
      <alignment horizontal="left" indent="1"/>
    </xf>
    <xf numFmtId="0" fontId="272" fillId="0" borderId="0" xfId="0" applyFont="1" applyAlignment="1">
      <alignment horizontal="left" indent="1"/>
    </xf>
    <xf numFmtId="171" fontId="268" fillId="0" borderId="0" xfId="0" applyNumberFormat="1" applyFont="1"/>
    <xf numFmtId="173" fontId="273" fillId="97" borderId="0" xfId="1" applyNumberFormat="1" applyFont="1" applyFill="1"/>
    <xf numFmtId="171" fontId="273" fillId="0" borderId="0" xfId="1" applyNumberFormat="1" applyFont="1"/>
    <xf numFmtId="0" fontId="269" fillId="0" borderId="0" xfId="0" applyFont="1" applyFill="1" applyAlignment="1">
      <alignment horizontal="left"/>
    </xf>
    <xf numFmtId="0" fontId="268" fillId="0" borderId="0" xfId="0" applyFont="1" applyFill="1"/>
    <xf numFmtId="171" fontId="269" fillId="0" borderId="0" xfId="1" applyNumberFormat="1" applyFont="1" applyFill="1"/>
    <xf numFmtId="0" fontId="269" fillId="0" borderId="0" xfId="0" applyFont="1" applyAlignment="1">
      <alignment horizontal="left" indent="1"/>
    </xf>
    <xf numFmtId="173" fontId="269" fillId="0" borderId="0" xfId="1" applyNumberFormat="1" applyFont="1"/>
    <xf numFmtId="0" fontId="273" fillId="0" borderId="0" xfId="0" applyFont="1"/>
    <xf numFmtId="43" fontId="269" fillId="0" borderId="0" xfId="1" applyNumberFormat="1" applyFont="1"/>
    <xf numFmtId="171" fontId="269" fillId="0" borderId="0" xfId="0" applyNumberFormat="1" applyFont="1"/>
    <xf numFmtId="171" fontId="269" fillId="0" borderId="0" xfId="1" applyNumberFormat="1" applyFont="1" applyBorder="1"/>
    <xf numFmtId="171" fontId="273" fillId="0" borderId="0" xfId="1" applyNumberFormat="1" applyFont="1" applyFill="1"/>
    <xf numFmtId="0" fontId="268" fillId="0" borderId="0" xfId="0" applyFont="1" applyAlignment="1">
      <alignment horizontal="left" indent="3"/>
    </xf>
    <xf numFmtId="171" fontId="269" fillId="0" borderId="0" xfId="1" applyNumberFormat="1" applyFont="1" applyAlignment="1">
      <alignment horizontal="right"/>
    </xf>
    <xf numFmtId="174" fontId="268" fillId="0" borderId="0" xfId="0" applyNumberFormat="1" applyFont="1"/>
    <xf numFmtId="0" fontId="270" fillId="0" borderId="0" xfId="0" applyFont="1" applyAlignment="1">
      <alignment horizontal="left"/>
    </xf>
    <xf numFmtId="0" fontId="29" fillId="100" borderId="11" xfId="0" applyFont="1" applyFill="1" applyBorder="1" applyAlignment="1">
      <alignment horizontal="center"/>
    </xf>
    <xf numFmtId="171" fontId="273" fillId="0" borderId="0" xfId="0" applyNumberFormat="1" applyFont="1"/>
    <xf numFmtId="170" fontId="273" fillId="0" borderId="0" xfId="0" applyNumberFormat="1" applyFont="1"/>
    <xf numFmtId="0" fontId="270" fillId="0" borderId="0" xfId="0" applyFont="1" applyAlignment="1">
      <alignment horizontal="left" indent="1"/>
    </xf>
    <xf numFmtId="173" fontId="273" fillId="0" borderId="0" xfId="1" applyNumberFormat="1" applyFont="1" applyFill="1"/>
    <xf numFmtId="4" fontId="268" fillId="0" borderId="0" xfId="2" applyNumberFormat="1" applyFont="1"/>
    <xf numFmtId="4" fontId="268" fillId="0" borderId="0" xfId="0" applyNumberFormat="1" applyFont="1"/>
    <xf numFmtId="0" fontId="270" fillId="101" borderId="0" xfId="0" applyFont="1" applyFill="1"/>
    <xf numFmtId="171" fontId="268" fillId="101" borderId="0" xfId="0" applyNumberFormat="1" applyFont="1" applyFill="1"/>
    <xf numFmtId="171" fontId="268" fillId="101" borderId="71" xfId="0" applyNumberFormat="1" applyFont="1" applyFill="1" applyBorder="1"/>
    <xf numFmtId="171" fontId="271" fillId="101" borderId="71" xfId="0" applyNumberFormat="1" applyFont="1" applyFill="1" applyBorder="1"/>
    <xf numFmtId="171" fontId="268" fillId="101" borderId="72" xfId="0" applyNumberFormat="1" applyFont="1" applyFill="1" applyBorder="1"/>
    <xf numFmtId="171" fontId="271" fillId="101" borderId="72" xfId="0" applyNumberFormat="1" applyFont="1" applyFill="1" applyBorder="1"/>
    <xf numFmtId="0" fontId="268" fillId="0" borderId="0" xfId="0" applyFont="1" applyAlignment="1">
      <alignment horizontal="left"/>
    </xf>
    <xf numFmtId="171" fontId="275" fillId="0" borderId="0" xfId="1" applyNumberFormat="1" applyFont="1"/>
    <xf numFmtId="0" fontId="272" fillId="97" borderId="0" xfId="0" applyFont="1" applyFill="1"/>
    <xf numFmtId="43" fontId="276" fillId="0" borderId="0" xfId="1" applyFont="1" applyFill="1"/>
    <xf numFmtId="3" fontId="276" fillId="0" borderId="0" xfId="2" applyNumberFormat="1" applyFont="1" applyFill="1"/>
    <xf numFmtId="173" fontId="276" fillId="0" borderId="0" xfId="1" applyNumberFormat="1" applyFont="1" applyFill="1"/>
    <xf numFmtId="172" fontId="276" fillId="0" borderId="0" xfId="2" applyNumberFormat="1" applyFont="1"/>
    <xf numFmtId="171" fontId="269" fillId="0" borderId="0" xfId="0" applyNumberFormat="1" applyFont="1" applyBorder="1"/>
    <xf numFmtId="0" fontId="269" fillId="0" borderId="0" xfId="0" applyFont="1" applyBorder="1"/>
    <xf numFmtId="3" fontId="269" fillId="0" borderId="0" xfId="2" applyNumberFormat="1" applyFont="1" applyFill="1"/>
    <xf numFmtId="171" fontId="273" fillId="0" borderId="0" xfId="0" applyNumberFormat="1" applyFont="1" applyFill="1"/>
  </cellXfs>
  <cellStyles count="9726">
    <cellStyle name="-" xfId="74"/>
    <cellStyle name="#,##-" xfId="75"/>
    <cellStyle name="#,##0" xfId="76"/>
    <cellStyle name="#,##0%" xfId="77"/>
    <cellStyle name="#,##0.0%" xfId="78"/>
    <cellStyle name="#,##0_),(#,##0)" xfId="79"/>
    <cellStyle name="$" xfId="80"/>
    <cellStyle name="$ 0 decimal" xfId="81"/>
    <cellStyle name="$ 2 decimals" xfId="82"/>
    <cellStyle name="$0" xfId="83"/>
    <cellStyle name="$1" xfId="84"/>
    <cellStyle name="$2" xfId="85"/>
    <cellStyle name="%0" xfId="86"/>
    <cellStyle name="%1" xfId="87"/>
    <cellStyle name="%12" xfId="88"/>
    <cellStyle name="%2" xfId="89"/>
    <cellStyle name="%b1" xfId="90"/>
    <cellStyle name="(0%) &quot; - &quot;" xfId="91"/>
    <cellStyle name="(0%) &quot; - &quot;per" xfId="92"/>
    <cellStyle name="(0,000) &quot; - &quot;" xfId="93"/>
    <cellStyle name="(0,000) &quot; - &quot;num" xfId="94"/>
    <cellStyle name="(0.0%)" xfId="95"/>
    <cellStyle name="******************************************" xfId="96"/>
    <cellStyle name="?? [0.00]_laroux" xfId="97"/>
    <cellStyle name="?? [0]_VERA" xfId="98"/>
    <cellStyle name="???? [0.00]_laroux" xfId="99"/>
    <cellStyle name="?????_VERA" xfId="100"/>
    <cellStyle name="????_laroux" xfId="101"/>
    <cellStyle name="??_??" xfId="102"/>
    <cellStyle name="_%(SignOnly)" xfId="103"/>
    <cellStyle name="_%(SignOnly) 2" xfId="104"/>
    <cellStyle name="_%(SignSpaceOnly)" xfId="105"/>
    <cellStyle name="_%(SignSpaceOnly) 2" xfId="106"/>
    <cellStyle name="_~3097260" xfId="107"/>
    <cellStyle name="_~3097260 2" xfId="6291"/>
    <cellStyle name="-_30.06.09 - Análise de contas IFRS" xfId="9395"/>
    <cellStyle name="_Apresentação Painel de Caixa abril 2007 FORECAST (Desafio)" xfId="108"/>
    <cellStyle name="_Apresentação Painel de Caixa dezembro_2006" xfId="109"/>
    <cellStyle name="_Apresentação Painel de Caixa dezembro_Acionista 506_  2007" xfId="110"/>
    <cellStyle name="_Apresentação Painel de Caixa Março  2007" xfId="111"/>
    <cellStyle name="-_Base Apresentação" xfId="6292"/>
    <cellStyle name="-_Base Apresentação 2" xfId="9396"/>
    <cellStyle name="-_Base Apresentação_Base ITR Set-10 - Ajustes Resmat" xfId="6293"/>
    <cellStyle name="_Book Gerencial Reg VIVAX Set07" xfId="112"/>
    <cellStyle name="_Capex" xfId="113"/>
    <cellStyle name="_Comma" xfId="114"/>
    <cellStyle name="_Comma 2" xfId="115"/>
    <cellStyle name="_Comma_Book1" xfId="116"/>
    <cellStyle name="_Comma_Book1 2" xfId="6294"/>
    <cellStyle name="-_Comparativo VP FIN v1_So 2008" xfId="6295"/>
    <cellStyle name="-_Comparativo VP MKT 2008 v1_So 2008" xfId="6296"/>
    <cellStyle name="-_Comparativo VP TEC 2008 v1_So 2008" xfId="6297"/>
    <cellStyle name="-_Comparativo VP TEC 2008_Luiz Sergio" xfId="6298"/>
    <cellStyle name="-_Cópia de Análise de contas IFRS 2009" xfId="9397"/>
    <cellStyle name="-_Cópia de Modelo - Fluxo de Caixa Orcamento 09052009_V36_3" xfId="117"/>
    <cellStyle name="_Currency" xfId="118"/>
    <cellStyle name="_Currency 2" xfId="119"/>
    <cellStyle name="_Currency_Book1" xfId="120"/>
    <cellStyle name="_Currency_Book1 2" xfId="6299"/>
    <cellStyle name="_Currency_Book1_Cópia de Modelo - Fluxo de Caixa Orcamento 09052009_V36_3" xfId="121"/>
    <cellStyle name="_Currency_Book1_Cópia de Modelo - Fluxo de Caixa Orcamento 09052009_V36_3 2" xfId="6300"/>
    <cellStyle name="_Currency_Book1_Cópia de Modelo - Fluxo de Caixa Orcamento 09052009_V36_3_Apresentação 230609" xfId="122"/>
    <cellStyle name="_Currency_Book1_Cópia de Modelo - Fluxo de Caixa Orcamento 09052009_V36_3_Apresentação 230609 2" xfId="6301"/>
    <cellStyle name="_Currency_Book1_Cópia de Modelo - Fluxo de Caixa Orcamento 09052009_V36_3_Apresentação 230609_Fluxo de caixa 20100224" xfId="6302"/>
    <cellStyle name="_Currency_Book1_Cópia de Modelo - Fluxo de Caixa Orcamento 09052009_V36_3_Apresentação 230609_Fluxo de caixa 20100224 2" xfId="6303"/>
    <cellStyle name="_Currency_Book1_Cópia de Modelo - Fluxo de Caixa Orcamento 09052009_V36_3_Apresentação 230609_Geração de Caixa Operacional 2010 (2)" xfId="6304"/>
    <cellStyle name="_Currency_Book1_Cópia de Modelo - Fluxo de Caixa Orcamento 09052009_V36_3_Apresentação 230609_Geração de Caixa Operacional 2010 (2) 2" xfId="6305"/>
    <cellStyle name="_Currency_Book1_Cópia de Modelo - Fluxo de Caixa Orcamento 09052009_V36_3_Apresentação 230609_Orçamento Caixa 2010 (após - 60 MM)_dolar_19032010" xfId="6306"/>
    <cellStyle name="_Currency_Book1_Cópia de Modelo - Fluxo de Caixa Orcamento 09052009_V36_3_Apresentação 230609_Orçamento Caixa 2010 (após - 60 MM)_dolar_19032010 2" xfId="6307"/>
    <cellStyle name="_Currency_Book1_Fluxo de caixa 20100224" xfId="6308"/>
    <cellStyle name="_Currency_Book1_Fluxo de caixa 20100224 2" xfId="6309"/>
    <cellStyle name="_Currency_Book1_Fluxo de Caixa Orcamento FINAL_13052009" xfId="123"/>
    <cellStyle name="_Currency_Book1_Fluxo de Caixa Orcamento FINAL_13052009 2" xfId="6310"/>
    <cellStyle name="_Currency_Book1_Geração de Caixa Operacional 2010 (2)" xfId="6311"/>
    <cellStyle name="_Currency_Book1_Geração de Caixa Operacional 2010 (2) 2" xfId="6312"/>
    <cellStyle name="_Currency_Book1_GOL Financial Model" xfId="124"/>
    <cellStyle name="_Currency_Book1_GOL Financial Model 2" xfId="6313"/>
    <cellStyle name="_Currency_Book1_GOL Financial Model ORC2007 v16" xfId="125"/>
    <cellStyle name="_Currency_Book1_GOL Financial Model ORC2007 v16 2" xfId="6314"/>
    <cellStyle name="_Currency_Book1_GOL Financial Model ORC2007 v16_Apresentação 230609" xfId="126"/>
    <cellStyle name="_Currency_Book1_GOL Financial Model ORC2007 v16_Apresentação 230609 2" xfId="6315"/>
    <cellStyle name="_Currency_Book1_GOL Financial Model ORC2007 v16_Apresentação 230609_Fluxo de caixa 20100224" xfId="6316"/>
    <cellStyle name="_Currency_Book1_GOL Financial Model ORC2007 v16_Apresentação 230609_Fluxo de caixa 20100224 2" xfId="6317"/>
    <cellStyle name="_Currency_Book1_GOL Financial Model ORC2007 v16_Apresentação 230609_Geração de Caixa Operacional 2010 (2)" xfId="6318"/>
    <cellStyle name="_Currency_Book1_GOL Financial Model ORC2007 v16_Apresentação 230609_Geração de Caixa Operacional 2010 (2) 2" xfId="6319"/>
    <cellStyle name="_Currency_Book1_GOL Financial Model ORC2007 v16_Apresentação 230609_Orçamento Caixa 2010 (após - 60 MM)_dolar_19032010" xfId="6320"/>
    <cellStyle name="_Currency_Book1_GOL Financial Model ORC2007 v16_Apresentação 230609_Orçamento Caixa 2010 (após - 60 MM)_dolar_19032010 2" xfId="6321"/>
    <cellStyle name="_Currency_Book1_GOL Financial Model ORC2007 v16_Fluxo de Caixa Orcamento FINAL_13052009" xfId="127"/>
    <cellStyle name="_Currency_Book1_GOL Financial Model ORC2007 v16_Fluxo de Caixa Orcamento FINAL_13052009 2" xfId="6322"/>
    <cellStyle name="_Currency_Book1_GOL Financial Model_Apresentação 230609" xfId="128"/>
    <cellStyle name="_Currency_Book1_GOL Financial Model_Apresentação 230609 2" xfId="6323"/>
    <cellStyle name="_Currency_Book1_GOL Financial Model_Apresentação 230609_Fluxo de caixa 20100224" xfId="6324"/>
    <cellStyle name="_Currency_Book1_GOL Financial Model_Apresentação 230609_Fluxo de caixa 20100224 2" xfId="6325"/>
    <cellStyle name="_Currency_Book1_GOL Financial Model_Apresentação 230609_Geração de Caixa Operacional 2010 (2)" xfId="6326"/>
    <cellStyle name="_Currency_Book1_GOL Financial Model_Apresentação 230609_Geração de Caixa Operacional 2010 (2) 2" xfId="6327"/>
    <cellStyle name="_Currency_Book1_GOL Financial Model_Apresentação 230609_Orçamento Caixa 2010 (após - 60 MM)_dolar_19032010" xfId="6328"/>
    <cellStyle name="_Currency_Book1_GOL Financial Model_Apresentação 230609_Orçamento Caixa 2010 (após - 60 MM)_dolar_19032010 2" xfId="6329"/>
    <cellStyle name="_Currency_Book1_GOL Financial Model_Fluxo de Caixa Orcamento FINAL_13052009" xfId="129"/>
    <cellStyle name="_Currency_Book1_GOL Financial Model_Fluxo de Caixa Orcamento FINAL_13052009 2" xfId="6330"/>
    <cellStyle name="_Currency_Book1_Orçamento Caixa 2010 (após - 60 MM)_dolar_19032010" xfId="6331"/>
    <cellStyle name="_Currency_Book1_Orçamento Caixa 2010 (após - 60 MM)_dolar_19032010 2" xfId="6332"/>
    <cellStyle name="_Currency_Book1_Pasta2" xfId="130"/>
    <cellStyle name="_Currency_Book1_Pasta2 2" xfId="6333"/>
    <cellStyle name="_Currency_Book1_Pasta2_Fluxo de caixa 20100224" xfId="6334"/>
    <cellStyle name="_Currency_Book1_Pasta2_Fluxo de caixa 20100224 2" xfId="6335"/>
    <cellStyle name="_Currency_Book1_Pasta2_Geração de Caixa Operacional 2010 (2)" xfId="6336"/>
    <cellStyle name="_Currency_Book1_Pasta2_Geração de Caixa Operacional 2010 (2) 2" xfId="6337"/>
    <cellStyle name="_Currency_Book1_Pasta2_Orçamento Caixa 2010 (após - 60 MM)_dolar_19032010" xfId="6338"/>
    <cellStyle name="_Currency_Book1_Pasta2_Orçamento Caixa 2010 (após - 60 MM)_dolar_19032010 2" xfId="6339"/>
    <cellStyle name="_Currency_Book1_Relatório (2006)" xfId="131"/>
    <cellStyle name="_Currency_Book1_Relatório (2007)" xfId="132"/>
    <cellStyle name="_Currency_Cópia de Modelo - Fluxo de Caixa Orcamento 09052009_V36_3" xfId="133"/>
    <cellStyle name="_Currency_Cópia de Modelo - Fluxo de Caixa Orcamento 09052009_V36_3 2" xfId="6340"/>
    <cellStyle name="_Currency_Cópia de Modelo - Fluxo de Caixa Orcamento 09052009_V36_3_Apresentação 230609" xfId="134"/>
    <cellStyle name="_Currency_Cópia de Modelo - Fluxo de Caixa Orcamento 09052009_V36_3_Apresentação 230609 2" xfId="6341"/>
    <cellStyle name="_Currency_Cópia de Modelo - Fluxo de Caixa Orcamento 09052009_V36_3_Apresentação 230609_Fluxo de caixa 20100224" xfId="6342"/>
    <cellStyle name="_Currency_Cópia de Modelo - Fluxo de Caixa Orcamento 09052009_V36_3_Apresentação 230609_Fluxo de caixa 20100224 2" xfId="6343"/>
    <cellStyle name="_Currency_Cópia de Modelo - Fluxo de Caixa Orcamento 09052009_V36_3_Apresentação 230609_Geração de Caixa Operacional 2010 (2)" xfId="6344"/>
    <cellStyle name="_Currency_Cópia de Modelo - Fluxo de Caixa Orcamento 09052009_V36_3_Apresentação 230609_Geração de Caixa Operacional 2010 (2) 2" xfId="6345"/>
    <cellStyle name="_Currency_Cópia de Modelo - Fluxo de Caixa Orcamento 09052009_V36_3_Apresentação 230609_Orçamento Caixa 2010 (após - 60 MM)_dolar_19032010" xfId="6346"/>
    <cellStyle name="_Currency_Cópia de Modelo - Fluxo de Caixa Orcamento 09052009_V36_3_Apresentação 230609_Orçamento Caixa 2010 (após - 60 MM)_dolar_19032010 2" xfId="6347"/>
    <cellStyle name="_Currency_DCF output" xfId="135"/>
    <cellStyle name="_Currency_Fluxo de caixa 20100224" xfId="6348"/>
    <cellStyle name="_Currency_Fluxo de caixa 20100224 2" xfId="6349"/>
    <cellStyle name="_Currency_Fluxo de Caixa Orcamento FINAL_13052009" xfId="136"/>
    <cellStyle name="_Currency_Fluxo de Caixa Orcamento FINAL_13052009 2" xfId="6350"/>
    <cellStyle name="_Currency_Geração de Caixa Operacional 2010 (2)" xfId="6351"/>
    <cellStyle name="_Currency_Geração de Caixa Operacional 2010 (2) 2" xfId="6352"/>
    <cellStyle name="_Currency_GOL Financial Model" xfId="137"/>
    <cellStyle name="_Currency_GOL Financial Model 2" xfId="6353"/>
    <cellStyle name="_Currency_GOL Financial Model ORC2007 v16" xfId="138"/>
    <cellStyle name="_Currency_GOL Financial Model ORC2007 v16 2" xfId="6354"/>
    <cellStyle name="_Currency_GOL Financial Model ORC2007 v16_Apresentação 230609" xfId="139"/>
    <cellStyle name="_Currency_GOL Financial Model ORC2007 v16_Apresentação 230609 2" xfId="6355"/>
    <cellStyle name="_Currency_GOL Financial Model ORC2007 v16_Apresentação 230609_Fluxo de caixa 20100224" xfId="6356"/>
    <cellStyle name="_Currency_GOL Financial Model ORC2007 v16_Apresentação 230609_Fluxo de caixa 20100224 2" xfId="6357"/>
    <cellStyle name="_Currency_GOL Financial Model ORC2007 v16_Apresentação 230609_Geração de Caixa Operacional 2010 (2)" xfId="6358"/>
    <cellStyle name="_Currency_GOL Financial Model ORC2007 v16_Apresentação 230609_Geração de Caixa Operacional 2010 (2) 2" xfId="6359"/>
    <cellStyle name="_Currency_GOL Financial Model ORC2007 v16_Apresentação 230609_Orçamento Caixa 2010 (após - 60 MM)_dolar_19032010" xfId="6360"/>
    <cellStyle name="_Currency_GOL Financial Model ORC2007 v16_Apresentação 230609_Orçamento Caixa 2010 (após - 60 MM)_dolar_19032010 2" xfId="6361"/>
    <cellStyle name="_Currency_GOL Financial Model ORC2007 v16_Fluxo de Caixa Orcamento FINAL_13052009" xfId="140"/>
    <cellStyle name="_Currency_GOL Financial Model ORC2007 v16_Fluxo de Caixa Orcamento FINAL_13052009 2" xfId="6362"/>
    <cellStyle name="_Currency_GOL Financial Model_Apresentação 230609" xfId="141"/>
    <cellStyle name="_Currency_GOL Financial Model_Apresentação 230609 2" xfId="6363"/>
    <cellStyle name="_Currency_GOL Financial Model_Apresentação 230609_Fluxo de caixa 20100224" xfId="6364"/>
    <cellStyle name="_Currency_GOL Financial Model_Apresentação 230609_Fluxo de caixa 20100224 2" xfId="6365"/>
    <cellStyle name="_Currency_GOL Financial Model_Apresentação 230609_Geração de Caixa Operacional 2010 (2)" xfId="6366"/>
    <cellStyle name="_Currency_GOL Financial Model_Apresentação 230609_Geração de Caixa Operacional 2010 (2) 2" xfId="6367"/>
    <cellStyle name="_Currency_GOL Financial Model_Apresentação 230609_Orçamento Caixa 2010 (após - 60 MM)_dolar_19032010" xfId="6368"/>
    <cellStyle name="_Currency_GOL Financial Model_Apresentação 230609_Orçamento Caixa 2010 (após - 60 MM)_dolar_19032010 2" xfId="6369"/>
    <cellStyle name="_Currency_GOL Financial Model_Fluxo de Caixa Orcamento FINAL_13052009" xfId="142"/>
    <cellStyle name="_Currency_GOL Financial Model_Fluxo de Caixa Orcamento FINAL_13052009 2" xfId="6370"/>
    <cellStyle name="_Currency_HLHZ _ 28 Abr 2003_Cash Sweep_10" xfId="143"/>
    <cellStyle name="_Currency_HLHZ _ 28 Abr 2003_Cash Sweep_10 2" xfId="144"/>
    <cellStyle name="_Currency_Master Business Plan37" xfId="145"/>
    <cellStyle name="_Currency_Master Business Plan37 2" xfId="146"/>
    <cellStyle name="_Currency_Orçamento Caixa 2010 (após - 60 MM)_dolar_19032010" xfId="6371"/>
    <cellStyle name="_Currency_Orçamento Caixa 2010 (após - 60 MM)_dolar_19032010 2" xfId="6372"/>
    <cellStyle name="_Currency_Pasta2" xfId="147"/>
    <cellStyle name="_Currency_Pasta2 2" xfId="6373"/>
    <cellStyle name="_Currency_Pasta2_Fluxo de caixa 20100224" xfId="6374"/>
    <cellStyle name="_Currency_Pasta2_Fluxo de caixa 20100224 2" xfId="6375"/>
    <cellStyle name="_Currency_Pasta2_Geração de Caixa Operacional 2010 (2)" xfId="6376"/>
    <cellStyle name="_Currency_Pasta2_Geração de Caixa Operacional 2010 (2) 2" xfId="6377"/>
    <cellStyle name="_Currency_Pasta2_Orçamento Caixa 2010 (após - 60 MM)_dolar_19032010" xfId="6378"/>
    <cellStyle name="_Currency_Pasta2_Orçamento Caixa 2010 (após - 60 MM)_dolar_19032010 2" xfId="6379"/>
    <cellStyle name="_Currency_Relatório (2006)" xfId="148"/>
    <cellStyle name="_Currency_Relatório (2007)" xfId="149"/>
    <cellStyle name="_Currency_vmatrix bb" xfId="150"/>
    <cellStyle name="_Currency_vmatrix bb 2" xfId="6380"/>
    <cellStyle name="_Currency_wacc bb final" xfId="151"/>
    <cellStyle name="_Currency_wacc bb final 2" xfId="6381"/>
    <cellStyle name="_Currency_wacc bb final_Cópia de Modelo - Fluxo de Caixa Orcamento 09052009_V36_3" xfId="152"/>
    <cellStyle name="_Currency_wacc bb final_Cópia de Modelo - Fluxo de Caixa Orcamento 09052009_V36_3 2" xfId="6382"/>
    <cellStyle name="_Currency_wacc bb final_Cópia de Modelo - Fluxo de Caixa Orcamento 09052009_V36_3_Apresentação 230609" xfId="153"/>
    <cellStyle name="_Currency_wacc bb final_Cópia de Modelo - Fluxo de Caixa Orcamento 09052009_V36_3_Apresentação 230609 2" xfId="6383"/>
    <cellStyle name="_Currency_wacc bb final_Cópia de Modelo - Fluxo de Caixa Orcamento 09052009_V36_3_Apresentação 230609_Fluxo de caixa 20100224" xfId="6384"/>
    <cellStyle name="_Currency_wacc bb final_Cópia de Modelo - Fluxo de Caixa Orcamento 09052009_V36_3_Apresentação 230609_Fluxo de caixa 20100224 2" xfId="6385"/>
    <cellStyle name="_Currency_wacc bb final_Cópia de Modelo - Fluxo de Caixa Orcamento 09052009_V36_3_Apresentação 230609_Geração de Caixa Operacional 2010 (2)" xfId="6386"/>
    <cellStyle name="_Currency_wacc bb final_Cópia de Modelo - Fluxo de Caixa Orcamento 09052009_V36_3_Apresentação 230609_Geração de Caixa Operacional 2010 (2) 2" xfId="6387"/>
    <cellStyle name="_Currency_wacc bb final_Cópia de Modelo - Fluxo de Caixa Orcamento 09052009_V36_3_Apresentação 230609_Orçamento Caixa 2010 (após - 60 MM)_dolar_19032010" xfId="6388"/>
    <cellStyle name="_Currency_wacc bb final_Cópia de Modelo - Fluxo de Caixa Orcamento 09052009_V36_3_Apresentação 230609_Orçamento Caixa 2010 (após - 60 MM)_dolar_19032010 2" xfId="6389"/>
    <cellStyle name="_Currency_wacc bb final_Fluxo de caixa 20100224" xfId="6390"/>
    <cellStyle name="_Currency_wacc bb final_Fluxo de caixa 20100224 2" xfId="6391"/>
    <cellStyle name="_Currency_wacc bb final_Fluxo de Caixa Orcamento FINAL_13052009" xfId="154"/>
    <cellStyle name="_Currency_wacc bb final_Fluxo de Caixa Orcamento FINAL_13052009 2" xfId="6392"/>
    <cellStyle name="_Currency_wacc bb final_Geração de Caixa Operacional 2010 (2)" xfId="6393"/>
    <cellStyle name="_Currency_wacc bb final_Geração de Caixa Operacional 2010 (2) 2" xfId="6394"/>
    <cellStyle name="_Currency_wacc bb final_GOL Financial Model" xfId="155"/>
    <cellStyle name="_Currency_wacc bb final_GOL Financial Model 2" xfId="6395"/>
    <cellStyle name="_Currency_wacc bb final_GOL Financial Model ORC2007 v16" xfId="156"/>
    <cellStyle name="_Currency_wacc bb final_GOL Financial Model ORC2007 v16 2" xfId="6396"/>
    <cellStyle name="_Currency_wacc bb final_GOL Financial Model ORC2007 v16_Apresentação 230609" xfId="157"/>
    <cellStyle name="_Currency_wacc bb final_GOL Financial Model ORC2007 v16_Apresentação 230609 2" xfId="6397"/>
    <cellStyle name="_Currency_wacc bb final_GOL Financial Model ORC2007 v16_Apresentação 230609_Fluxo de caixa 20100224" xfId="6398"/>
    <cellStyle name="_Currency_wacc bb final_GOL Financial Model ORC2007 v16_Apresentação 230609_Fluxo de caixa 20100224 2" xfId="6399"/>
    <cellStyle name="_Currency_wacc bb final_GOL Financial Model ORC2007 v16_Apresentação 230609_Geração de Caixa Operacional 2010 (2)" xfId="6400"/>
    <cellStyle name="_Currency_wacc bb final_GOL Financial Model ORC2007 v16_Apresentação 230609_Geração de Caixa Operacional 2010 (2) 2" xfId="6401"/>
    <cellStyle name="_Currency_wacc bb final_GOL Financial Model ORC2007 v16_Apresentação 230609_Orçamento Caixa 2010 (após - 60 MM)_dolar_19032010" xfId="6402"/>
    <cellStyle name="_Currency_wacc bb final_GOL Financial Model ORC2007 v16_Apresentação 230609_Orçamento Caixa 2010 (após - 60 MM)_dolar_19032010 2" xfId="6403"/>
    <cellStyle name="_Currency_wacc bb final_GOL Financial Model ORC2007 v16_Fluxo de Caixa Orcamento FINAL_13052009" xfId="158"/>
    <cellStyle name="_Currency_wacc bb final_GOL Financial Model ORC2007 v16_Fluxo de Caixa Orcamento FINAL_13052009 2" xfId="6404"/>
    <cellStyle name="_Currency_wacc bb final_GOL Financial Model_Apresentação 230609" xfId="159"/>
    <cellStyle name="_Currency_wacc bb final_GOL Financial Model_Apresentação 230609 2" xfId="6405"/>
    <cellStyle name="_Currency_wacc bb final_GOL Financial Model_Apresentação 230609_Fluxo de caixa 20100224" xfId="6406"/>
    <cellStyle name="_Currency_wacc bb final_GOL Financial Model_Apresentação 230609_Fluxo de caixa 20100224 2" xfId="6407"/>
    <cellStyle name="_Currency_wacc bb final_GOL Financial Model_Apresentação 230609_Geração de Caixa Operacional 2010 (2)" xfId="6408"/>
    <cellStyle name="_Currency_wacc bb final_GOL Financial Model_Apresentação 230609_Geração de Caixa Operacional 2010 (2) 2" xfId="6409"/>
    <cellStyle name="_Currency_wacc bb final_GOL Financial Model_Apresentação 230609_Orçamento Caixa 2010 (após - 60 MM)_dolar_19032010" xfId="6410"/>
    <cellStyle name="_Currency_wacc bb final_GOL Financial Model_Apresentação 230609_Orçamento Caixa 2010 (após - 60 MM)_dolar_19032010 2" xfId="6411"/>
    <cellStyle name="_Currency_wacc bb final_GOL Financial Model_Fluxo de Caixa Orcamento FINAL_13052009" xfId="160"/>
    <cellStyle name="_Currency_wacc bb final_GOL Financial Model_Fluxo de Caixa Orcamento FINAL_13052009 2" xfId="6412"/>
    <cellStyle name="_Currency_wacc bb final_Orçamento Caixa 2010 (após - 60 MM)_dolar_19032010" xfId="6413"/>
    <cellStyle name="_Currency_wacc bb final_Orçamento Caixa 2010 (após - 60 MM)_dolar_19032010 2" xfId="6414"/>
    <cellStyle name="_Currency_wacc bb final_Pasta2" xfId="161"/>
    <cellStyle name="_Currency_wacc bb final_Pasta2 2" xfId="6415"/>
    <cellStyle name="_Currency_wacc bb final_Pasta2_Fluxo de caixa 20100224" xfId="6416"/>
    <cellStyle name="_Currency_wacc bb final_Pasta2_Fluxo de caixa 20100224 2" xfId="6417"/>
    <cellStyle name="_Currency_wacc bb final_Pasta2_Geração de Caixa Operacional 2010 (2)" xfId="6418"/>
    <cellStyle name="_Currency_wacc bb final_Pasta2_Geração de Caixa Operacional 2010 (2) 2" xfId="6419"/>
    <cellStyle name="_Currency_wacc bb final_Pasta2_Orçamento Caixa 2010 (após - 60 MM)_dolar_19032010" xfId="6420"/>
    <cellStyle name="_Currency_wacc bb final_Pasta2_Orçamento Caixa 2010 (após - 60 MM)_dolar_19032010 2" xfId="6421"/>
    <cellStyle name="_Currency_wacc bb final_Relatório (2006)" xfId="162"/>
    <cellStyle name="_Currency_wacc bb final_Relatório (2007)" xfId="163"/>
    <cellStyle name="_CurrencySpace" xfId="164"/>
    <cellStyle name="_CurrencySpace 2" xfId="165"/>
    <cellStyle name="_CurrencySpace_Book1" xfId="166"/>
    <cellStyle name="_CurrencySpace_Book1 2" xfId="6422"/>
    <cellStyle name="_CurrencySpace_DCF output" xfId="167"/>
    <cellStyle name="_CurrencySpace_DCF output 2" xfId="6423"/>
    <cellStyle name="_CurrencySpace_DCF v01" xfId="168"/>
    <cellStyle name="_CurrencySpace_DCF v01 2" xfId="6424"/>
    <cellStyle name="-_dividas" xfId="169"/>
    <cellStyle name="_DRE_TENDÊNCIA_ViVAX_2007_Com pagamento de juros Kd" xfId="170"/>
    <cellStyle name="_Escopo Manut LOJAS_010609" xfId="9398"/>
    <cellStyle name="_Euro" xfId="171"/>
    <cellStyle name="_Euro 2" xfId="172"/>
    <cellStyle name="_Financial Analysis (12-1-03)" xfId="173"/>
    <cellStyle name="_Financial Analysis (12-1-03) 2" xfId="6425"/>
    <cellStyle name="_Financial Analysis (12-1-03)_Comparativo VP FIN v1_So 2008" xfId="6426"/>
    <cellStyle name="_Financial Analysis (12-1-03)_Comparativo VP MKT 2008 v1_So 2008" xfId="6427"/>
    <cellStyle name="_Financial Analysis (12-1-03)_Comparativo VP TEC 2008 v1_So 2008" xfId="6428"/>
    <cellStyle name="_Financial Analysis (12-1-03)_Comparativo VP TEC 2008_Luiz Sergio" xfId="6429"/>
    <cellStyle name="_Financial Analysis (12-1-03)_Cópia de Modelo - Fluxo de Caixa Orcamento 09052009_V36_3" xfId="174"/>
    <cellStyle name="_Financial Analysis (12-1-03)_Cópia de Modelo - Fluxo de Caixa Orcamento 09052009_V36_3 2" xfId="6430"/>
    <cellStyle name="_Financial Analysis (12-1-03)_Fluxo de Caixa Orcamento FINAL_13052009" xfId="175"/>
    <cellStyle name="_Financial Analysis (12-1-03)_Fluxo de Caixa Orcamento FINAL_13052009 2" xfId="6431"/>
    <cellStyle name="_Financial Analysis (12-1-03)_FM_dummyV4" xfId="176"/>
    <cellStyle name="_Financial Analysis (12-1-03)_GOL Financial Model - Bank Case NOV08 GECAS" xfId="177"/>
    <cellStyle name="_Financial Analysis (12-1-03)_GOL Financial Model - Bank Case NOV08 GECAS_FM_dummyV4" xfId="178"/>
    <cellStyle name="_Financial Analysis (12-1-03)_GOL Financial Model - Bank Case NOV08 GECAS_Leasing_V3" xfId="179"/>
    <cellStyle name="_Financial Analysis (12-1-03)_GOL Financial Model - Bank Case NOV08 GECAS_MODELO PDP III" xfId="180"/>
    <cellStyle name="_Financial Analysis (12-1-03)_GOL Financial Model_ORC2009V27" xfId="181"/>
    <cellStyle name="_Financial Analysis (12-1-03)_GOL Financial Model_ORC2009V27 2" xfId="6432"/>
    <cellStyle name="_Financial Analysis (12-1-03)_GOL Financial Model_ORC2009V27_ORÇ_2009" xfId="182"/>
    <cellStyle name="_Financial Analysis (12-1-03)_GOL Financial Model_ORC2009V27_ORÇ_2009 2" xfId="6433"/>
    <cellStyle name="_Financial Analysis (12-1-03)_lalur" xfId="183"/>
    <cellStyle name="_Financial Analysis (12-1-03)_Leasing_V3" xfId="184"/>
    <cellStyle name="_Financial Analysis (12-1-03)_MODELO PDP III" xfId="185"/>
    <cellStyle name="_Financial Analysis (12-1-03)_ORÇ_2009" xfId="186"/>
    <cellStyle name="_Financial Analysis (12-1-03)_ORÇ_2009 2" xfId="6434"/>
    <cellStyle name="_Financial Analysis (12-1-03)_Pasta2" xfId="187"/>
    <cellStyle name="_Financial Analysis (12-1-03)_Pasta2 2" xfId="6435"/>
    <cellStyle name="_Financial Analysis 12-2-03" xfId="188"/>
    <cellStyle name="_Financial Analysis 12-2-03 2" xfId="6436"/>
    <cellStyle name="_Financial Analysis 12-2-03_Comparativo VP FIN v1_So 2008" xfId="6437"/>
    <cellStyle name="_Financial Analysis 12-2-03_Comparativo VP MKT 2008 v1_So 2008" xfId="6438"/>
    <cellStyle name="_Financial Analysis 12-2-03_Comparativo VP TEC 2008 v1_So 2008" xfId="6439"/>
    <cellStyle name="_Financial Analysis 12-2-03_Comparativo VP TEC 2008_Luiz Sergio" xfId="6440"/>
    <cellStyle name="_Financial Analysis 12-2-03_Cópia de Modelo - Fluxo de Caixa Orcamento 09052009_V36_3" xfId="189"/>
    <cellStyle name="_Financial Analysis 12-2-03_Cópia de Modelo - Fluxo de Caixa Orcamento 09052009_V36_3 2" xfId="6441"/>
    <cellStyle name="_Financial Analysis 12-2-03_Fluxo de Caixa Orcamento FINAL_13052009" xfId="190"/>
    <cellStyle name="_Financial Analysis 12-2-03_Fluxo de Caixa Orcamento FINAL_13052009 2" xfId="6442"/>
    <cellStyle name="_Financial Analysis 12-2-03_FM_dummyV4" xfId="191"/>
    <cellStyle name="_Financial Analysis 12-2-03_GOL Financial Model - Bank Case NOV08 GECAS" xfId="192"/>
    <cellStyle name="_Financial Analysis 12-2-03_GOL Financial Model - Bank Case NOV08 GECAS_FM_dummyV4" xfId="193"/>
    <cellStyle name="_Financial Analysis 12-2-03_GOL Financial Model - Bank Case NOV08 GECAS_Leasing_V3" xfId="194"/>
    <cellStyle name="_Financial Analysis 12-2-03_GOL Financial Model - Bank Case NOV08 GECAS_MODELO PDP III" xfId="195"/>
    <cellStyle name="_Financial Analysis 12-2-03_GOL Financial Model_ORC2009V27" xfId="196"/>
    <cellStyle name="_Financial Analysis 12-2-03_GOL Financial Model_ORC2009V27 2" xfId="6443"/>
    <cellStyle name="_Financial Analysis 12-2-03_GOL Financial Model_ORC2009V27_ORÇ_2009" xfId="197"/>
    <cellStyle name="_Financial Analysis 12-2-03_GOL Financial Model_ORC2009V27_ORÇ_2009 2" xfId="6444"/>
    <cellStyle name="_Financial Analysis 12-2-03_lalur" xfId="198"/>
    <cellStyle name="_Financial Analysis 12-2-03_Leasing_V3" xfId="199"/>
    <cellStyle name="_Financial Analysis 12-2-03_MODELO PDP III" xfId="200"/>
    <cellStyle name="_Financial Analysis 12-2-03_ORÇ_2009" xfId="201"/>
    <cellStyle name="_Financial Analysis 12-2-03_ORÇ_2009 2" xfId="6445"/>
    <cellStyle name="_Financial Analysis 12-2-03_Pasta2" xfId="202"/>
    <cellStyle name="_Financial Analysis 12-2-03_Pasta2 2" xfId="6446"/>
    <cellStyle name="_Fluxo Competência e Caixa" xfId="203"/>
    <cellStyle name="_Fluxo de caixa diário 22.02.07" xfId="204"/>
    <cellStyle name="_Fluxo de caixa diário 22.02.07_Capex Book 0808" xfId="205"/>
    <cellStyle name="_Fluxo de caixa diário 22.02.07_Capex Book Out 08" xfId="206"/>
    <cellStyle name="_Fluxo de caixa diário 22.02.07_Capex Jan_08" xfId="207"/>
    <cellStyle name="_Fluxo de caixa diário 22.02.07_Capex Nov" xfId="208"/>
    <cellStyle name="_Fluxo de caixa diário 22.02.07_cristina dre e capex" xfId="209"/>
    <cellStyle name="_Fluxo de caixa diário 22.02.07_DRE" xfId="210"/>
    <cellStyle name="_Fluxo de caixa diário 22.02.07_Res capex Set 2008" xfId="211"/>
    <cellStyle name="_Fluxo de caixa diário 28.02.07" xfId="212"/>
    <cellStyle name="_Fluxo de caixa diário 28.02.07_506" xfId="213"/>
    <cellStyle name="_Fluxo de caixa diário 28.02.07_506_Capex Book 0808" xfId="214"/>
    <cellStyle name="_Fluxo de caixa diário 28.02.07_506_Capex Book Out 08" xfId="215"/>
    <cellStyle name="_Fluxo de caixa diário 28.02.07_506_Capex Jan_08" xfId="216"/>
    <cellStyle name="_Fluxo de caixa diário 28.02.07_506_Capex Nov" xfId="217"/>
    <cellStyle name="_Fluxo de caixa diário 28.02.07_506_cristina dre e capex" xfId="218"/>
    <cellStyle name="_Fluxo de caixa diário 28.02.07_506_DRE" xfId="219"/>
    <cellStyle name="_Fluxo de caixa diário 28.02.07_506_Res capex Set 2008" xfId="220"/>
    <cellStyle name="_Fluxo de caixa diário 28.02.07_Capex Book 0808" xfId="221"/>
    <cellStyle name="_Fluxo de caixa diário 28.02.07_Capex Book Out 08" xfId="222"/>
    <cellStyle name="_Fluxo de caixa diário 28.02.07_Capex Jan_08" xfId="223"/>
    <cellStyle name="_Fluxo de caixa diário 28.02.07_Capex Nov" xfId="224"/>
    <cellStyle name="_Fluxo de caixa diário 28.02.07_cristina dre e capex" xfId="225"/>
    <cellStyle name="_Fluxo de caixa diário 28.02.07_DRE" xfId="226"/>
    <cellStyle name="_Fluxo de caixa diário 28.02.07_Res capex Set 2008" xfId="227"/>
    <cellStyle name="_Fluxo de caixa diário 30.03.07" xfId="228"/>
    <cellStyle name="_Fluxo de caixa diário 30.03.07_Capex Book 0808" xfId="229"/>
    <cellStyle name="_Fluxo de caixa diário 30.03.07_Capex Book Out 08" xfId="230"/>
    <cellStyle name="_Fluxo de caixa diário 30.03.07_Capex Jan_08" xfId="231"/>
    <cellStyle name="_Fluxo de caixa diário 30.03.07_Capex Nov" xfId="232"/>
    <cellStyle name="_Fluxo de caixa diário 30.03.07_cristina dre e capex" xfId="233"/>
    <cellStyle name="_Fluxo de caixa diário 30.03.07_DRE" xfId="234"/>
    <cellStyle name="_Fluxo de caixa diário 30.03.07_Res capex Set 2008" xfId="235"/>
    <cellStyle name="_Fluxo de caixa diário 30.03.07Saldo incial_506" xfId="236"/>
    <cellStyle name="_Fluxo de caixa diário 30.03.07Saldo incial_506_Capex Book 0808" xfId="237"/>
    <cellStyle name="_Fluxo de caixa diário 30.03.07Saldo incial_506_Capex Book Out 08" xfId="238"/>
    <cellStyle name="_Fluxo de caixa diário 30.03.07Saldo incial_506_Capex Jan_08" xfId="239"/>
    <cellStyle name="_Fluxo de caixa diário 30.03.07Saldo incial_506_Capex Nov" xfId="240"/>
    <cellStyle name="_Fluxo de caixa diário 30.03.07Saldo incial_506_cristina dre e capex" xfId="241"/>
    <cellStyle name="_Fluxo de caixa diário 30.03.07Saldo incial_506_DRE" xfId="242"/>
    <cellStyle name="_Fluxo de caixa diário 30.03.07Saldo incial_506_Res capex Set 2008" xfId="243"/>
    <cellStyle name="-_Fluxo de Caixa Orcamento FINAL_13052009" xfId="244"/>
    <cellStyle name="_fluxo final tesouraria analitico" xfId="245"/>
    <cellStyle name="_fluxo final tesouraria analitico_Capex Book 0808" xfId="246"/>
    <cellStyle name="_fluxo final tesouraria analitico_Capex Book Out 08" xfId="247"/>
    <cellStyle name="_fluxo final tesouraria analitico_Capex Jan_08" xfId="248"/>
    <cellStyle name="_fluxo final tesouraria analitico_Capex Nov" xfId="249"/>
    <cellStyle name="_fluxo final tesouraria analitico_cristina dre e capex" xfId="250"/>
    <cellStyle name="_fluxo final tesouraria analitico_DRE" xfId="251"/>
    <cellStyle name="_fluxo final tesouraria analitico_Res capex Set 2008" xfId="252"/>
    <cellStyle name="-_FM_dummyV4" xfId="253"/>
    <cellStyle name="_Forecast Fluxo Caixa_2007 D 7" xfId="254"/>
    <cellStyle name="_Forecast Fluxo Caixa_2007_Agosto" xfId="255"/>
    <cellStyle name="_Forecast_ Fluxo Caixa diário 30.04.2007" xfId="256"/>
    <cellStyle name="_Forecast_Julho C1_Fluxo Caixa diário 31.07.2007" xfId="257"/>
    <cellStyle name="_Forecast_JunhoA_ Fluxo Caixa diário 29.06.2007" xfId="258"/>
    <cellStyle name="_Forecast_MaioC_ Fluxo Caixa diário 31.05.2007" xfId="259"/>
    <cellStyle name="_Heading" xfId="260"/>
    <cellStyle name="_Heading_prestemp" xfId="261"/>
    <cellStyle name="_Heading_prestemp 2" xfId="262"/>
    <cellStyle name="_Heading_prestemp_Capex Book 0808" xfId="263"/>
    <cellStyle name="_Heading_prestemp_Capex Book Out 08" xfId="264"/>
    <cellStyle name="_Heading_prestemp_Capex Jan_08" xfId="265"/>
    <cellStyle name="_Heading_prestemp_Capex Nov" xfId="266"/>
    <cellStyle name="_Heading_prestemp_cristina dre e capex" xfId="267"/>
    <cellStyle name="_Heading_prestemp_DRE" xfId="268"/>
    <cellStyle name="_Heading_prestemp_Res capex Set 2008" xfId="269"/>
    <cellStyle name="_Highlight" xfId="270"/>
    <cellStyle name="_Highlight 2" xfId="271"/>
    <cellStyle name="-_INFOTRIM0302" xfId="272"/>
    <cellStyle name="-_INFOTRIM0302_30.06.09 - Análise de contas IFRS" xfId="9399"/>
    <cellStyle name="-_INFOTRIM0302_Base Apresentação" xfId="6447"/>
    <cellStyle name="-_INFOTRIM0302_Base Apresentação 2" xfId="9400"/>
    <cellStyle name="-_INFOTRIM0302_Base Apresentação_Base ITR Set-10 - Ajustes Resmat" xfId="6448"/>
    <cellStyle name="-_INFOTRIM0302_Comparativo VP FIN v1_So 2008" xfId="6449"/>
    <cellStyle name="-_INFOTRIM0302_Comparativo VP MKT 2008 v1_So 2008" xfId="6450"/>
    <cellStyle name="-_INFOTRIM0302_Comparativo VP TEC 2008 v1_So 2008" xfId="6451"/>
    <cellStyle name="-_INFOTRIM0302_Comparativo VP TEC 2008_Luiz Sergio" xfId="6452"/>
    <cellStyle name="-_INFOTRIM0302_Cópia de Análise de contas IFRS 2009" xfId="9401"/>
    <cellStyle name="-_INFOTRIM0302_Cópia de Modelo - Fluxo de Caixa Orcamento 09052009_V36_3" xfId="273"/>
    <cellStyle name="-_INFOTRIM0302_Fluxo de Caixa Orcamento FINAL_13052009" xfId="274"/>
    <cellStyle name="-_INFOTRIM0302_FM_dummyV4" xfId="275"/>
    <cellStyle name="-_INFOTRIM0302_lalur" xfId="276"/>
    <cellStyle name="-_INFOTRIM0302_LALUR VRG 31-10-2009" xfId="277"/>
    <cellStyle name="-_INFOTRIM0302_Leasing_V3" xfId="278"/>
    <cellStyle name="-_INFOTRIM0302_MODELO PDP III" xfId="279"/>
    <cellStyle name="-_INFOTRIM0302_ORÇ_2009" xfId="280"/>
    <cellStyle name="-_INFOTRIM0302_Pasta2" xfId="281"/>
    <cellStyle name="-_INFOTRIM0302_Prévia 1T10 Leo V3 18 04 10" xfId="9402"/>
    <cellStyle name="-_INFOTRIM0302_Resultados mensais - Arquivo base maio 2010" xfId="6453"/>
    <cellStyle name="-_INFOTRIM0302_Resultados mensais - Arquivo base maio 2010 2" xfId="9403"/>
    <cellStyle name="-_INFOTRIM0302_Resultados mensais - Arquivo base maio 2010_Base ITR Set-10 - Ajustes Resmat" xfId="6454"/>
    <cellStyle name="-_INFOTRIM0302_Statement Sky - Finance" xfId="282"/>
    <cellStyle name="-_INFOTRIM032001" xfId="283"/>
    <cellStyle name="-_INFOTRIM032001_30.06.09 - Análise de contas IFRS" xfId="9404"/>
    <cellStyle name="-_INFOTRIM032001_Base Apresentação" xfId="6455"/>
    <cellStyle name="-_INFOTRIM032001_Base Apresentação 2" xfId="9405"/>
    <cellStyle name="-_INFOTRIM032001_Base Apresentação_Base ITR Set-10 - Ajustes Resmat" xfId="6456"/>
    <cellStyle name="-_INFOTRIM032001_Comparativo VP FIN v1_So 2008" xfId="6457"/>
    <cellStyle name="-_INFOTRIM032001_Comparativo VP MKT 2008 v1_So 2008" xfId="6458"/>
    <cellStyle name="-_INFOTRIM032001_Comparativo VP TEC 2008 v1_So 2008" xfId="6459"/>
    <cellStyle name="-_INFOTRIM032001_Comparativo VP TEC 2008_Luiz Sergio" xfId="6460"/>
    <cellStyle name="-_INFOTRIM032001_Cópia de Análise de contas IFRS 2009" xfId="9406"/>
    <cellStyle name="-_INFOTRIM032001_Cópia de Modelo - Fluxo de Caixa Orcamento 09052009_V36_3" xfId="284"/>
    <cellStyle name="-_INFOTRIM032001_Fluxo de Caixa Orcamento FINAL_13052009" xfId="285"/>
    <cellStyle name="-_INFOTRIM032001_FM_dummyV4" xfId="286"/>
    <cellStyle name="-_INFOTRIM032001_lalur" xfId="287"/>
    <cellStyle name="-_INFOTRIM032001_LALUR VRG 31-10-2009" xfId="288"/>
    <cellStyle name="-_INFOTRIM032001_Leasing_V3" xfId="289"/>
    <cellStyle name="-_INFOTRIM032001_MODELO PDP III" xfId="290"/>
    <cellStyle name="-_INFOTRIM032001_ORÇ_2009" xfId="291"/>
    <cellStyle name="-_INFOTRIM032001_Pasta2" xfId="292"/>
    <cellStyle name="-_INFOTRIM032001_Prévia 1T10 Leo V3 18 04 10" xfId="9407"/>
    <cellStyle name="-_INFOTRIM032001_Resultados mensais - Arquivo base maio 2010" xfId="6461"/>
    <cellStyle name="-_INFOTRIM032001_Resultados mensais - Arquivo base maio 2010 2" xfId="9408"/>
    <cellStyle name="-_INFOTRIM032001_Resultados mensais - Arquivo base maio 2010_Base ITR Set-10 - Ajustes Resmat" xfId="6462"/>
    <cellStyle name="-_INFOTRIM032001_Statement Sky - Finance" xfId="293"/>
    <cellStyle name="-_lalur" xfId="294"/>
    <cellStyle name="-_LALUR VRG 31-10-2009" xfId="295"/>
    <cellStyle name="-_Leasing_V3" xfId="296"/>
    <cellStyle name="-_MODELO PDP III" xfId="297"/>
    <cellStyle name="_Mov  Combinho" xfId="298"/>
    <cellStyle name="_Multiple" xfId="299"/>
    <cellStyle name="_Multiple 2" xfId="300"/>
    <cellStyle name="_Multiple_Book1" xfId="301"/>
    <cellStyle name="_Multiple_Book1 2" xfId="6463"/>
    <cellStyle name="_Multiple_DCF output" xfId="302"/>
    <cellStyle name="_Multiple_DCF v01" xfId="303"/>
    <cellStyle name="_Multiple_Merger Plans v02" xfId="304"/>
    <cellStyle name="_Multiple_Merger Plans v02 2" xfId="6464"/>
    <cellStyle name="_Multiple_Revised Watermelon Financials - Pre and Post TWA" xfId="305"/>
    <cellStyle name="_Multiple_Revised Watermelon Financials - Pre and Post TWA 2" xfId="6465"/>
    <cellStyle name="_Multiple_vmatrix bb" xfId="306"/>
    <cellStyle name="_Multiple_vmatrix bb 2" xfId="6466"/>
    <cellStyle name="_Multiple_wacc bb final" xfId="307"/>
    <cellStyle name="_Multiple_wacc bb final 2" xfId="6467"/>
    <cellStyle name="_Multiple_Watermelon Financials - Pre and Post TWA" xfId="308"/>
    <cellStyle name="_Multiple_Watermelon Financials - Pre and Post TWA 2" xfId="6468"/>
    <cellStyle name="_MultipleSpace" xfId="309"/>
    <cellStyle name="_MultipleSpace 2" xfId="310"/>
    <cellStyle name="_MultipleSpace_Book1" xfId="311"/>
    <cellStyle name="_MultipleSpace_Book1 2" xfId="6469"/>
    <cellStyle name="_MultipleSpace_DCF output" xfId="312"/>
    <cellStyle name="_MultipleSpace_vmatrix bb" xfId="313"/>
    <cellStyle name="_MultipleSpace_vmatrix bb 2" xfId="6470"/>
    <cellStyle name="_MultipleSpace_wacc bb final" xfId="314"/>
    <cellStyle name="_MultipleSpace_wacc bb final 2" xfId="6471"/>
    <cellStyle name="-_ORÇ_2009" xfId="315"/>
    <cellStyle name="_Orçamento Fluxo Caixa_2007_Conselho_A15 SI 506" xfId="316"/>
    <cellStyle name="_Orçamento Fluxo Caixa_2007_Conselho_A15 SI 506_Capex Book 0808" xfId="317"/>
    <cellStyle name="_Orçamento Fluxo Caixa_2007_Conselho_A15 SI 506_Capex Book Out 08" xfId="318"/>
    <cellStyle name="_Orçamento Fluxo Caixa_2007_Conselho_A15 SI 506_Capex Jan_08" xfId="319"/>
    <cellStyle name="_Orçamento Fluxo Caixa_2007_Conselho_A15 SI 506_Capex Nov" xfId="320"/>
    <cellStyle name="_Orçamento Fluxo Caixa_2007_Conselho_A15 SI 506_cristina dre e capex" xfId="321"/>
    <cellStyle name="_Orçamento Fluxo Caixa_2007_Conselho_A15 SI 506_DRE" xfId="322"/>
    <cellStyle name="_Orçamento Fluxo Caixa_2007_Conselho_A15 SI 506_Res capex Set 2008" xfId="323"/>
    <cellStyle name="_Orçamento Fluxo Caixa_2007_Conselho_A6" xfId="324"/>
    <cellStyle name="_Orçamento Fluxo Caixa_2007_Conselho_A6_Capex Book 0808" xfId="325"/>
    <cellStyle name="_Orçamento Fluxo Caixa_2007_Conselho_A6_Capex Book Out 08" xfId="326"/>
    <cellStyle name="_Orçamento Fluxo Caixa_2007_Conselho_A6_Capex Jan_08" xfId="327"/>
    <cellStyle name="_Orçamento Fluxo Caixa_2007_Conselho_A6_Capex Nov" xfId="328"/>
    <cellStyle name="_Orçamento Fluxo Caixa_2007_Conselho_A6_cristina dre e capex" xfId="329"/>
    <cellStyle name="_Orçamento Fluxo Caixa_2007_Conselho_A6_DRE" xfId="330"/>
    <cellStyle name="_Orçamento Fluxo Caixa_2007_Conselho_A6_Res capex Set 2008" xfId="331"/>
    <cellStyle name="_Orçamento Fluxo Caixa_2007_Conselho_A8" xfId="332"/>
    <cellStyle name="_Orçamento Fluxo Caixa_2007_Conselho_A8_Capex Book 0808" xfId="333"/>
    <cellStyle name="_Orçamento Fluxo Caixa_2007_Conselho_A8_Capex Book Out 08" xfId="334"/>
    <cellStyle name="_Orçamento Fluxo Caixa_2007_Conselho_A8_Capex Jan_08" xfId="335"/>
    <cellStyle name="_Orçamento Fluxo Caixa_2007_Conselho_A8_Capex Nov" xfId="336"/>
    <cellStyle name="_Orçamento Fluxo Caixa_2007_Conselho_A8_cristina dre e capex" xfId="337"/>
    <cellStyle name="_Orçamento Fluxo Caixa_2007_Conselho_A8_DRE" xfId="338"/>
    <cellStyle name="_Orçamento Fluxo Caixa_2007_Conselho_A8_Res capex Set 2008" xfId="339"/>
    <cellStyle name="_Orçamento Fluxo Caixa_2007_Conselho_A9" xfId="340"/>
    <cellStyle name="_Pasta1 (10)" xfId="341"/>
    <cellStyle name="-_Pasta2" xfId="342"/>
    <cellStyle name="_Pasta2 (12)" xfId="343"/>
    <cellStyle name="_Pasta2 (7)" xfId="344"/>
    <cellStyle name="_Pasta21" xfId="345"/>
    <cellStyle name="_Pasta3 (4)" xfId="346"/>
    <cellStyle name="_Pasta4" xfId="347"/>
    <cellStyle name="_Percent" xfId="348"/>
    <cellStyle name="_Percent 2" xfId="349"/>
    <cellStyle name="_Percent_DCF output" xfId="350"/>
    <cellStyle name="_Percent_vmatrix bb" xfId="351"/>
    <cellStyle name="_Percent_wacc bb final" xfId="352"/>
    <cellStyle name="_Percent_wacc bb final 2" xfId="6472"/>
    <cellStyle name="_PercentSpace" xfId="353"/>
    <cellStyle name="_PercentSpace 2" xfId="6473"/>
    <cellStyle name="_PercentSpace_DCF output" xfId="354"/>
    <cellStyle name="_PercentSpace_vmatrix bb" xfId="355"/>
    <cellStyle name="_PercentSpace_vmatrix bb 2" xfId="6474"/>
    <cellStyle name="_PercentSpace_wacc bb final" xfId="356"/>
    <cellStyle name="_PercentSpace_wacc bb final 2" xfId="6475"/>
    <cellStyle name="_Posição Atual Hedge 2008" xfId="6476"/>
    <cellStyle name="_Posição Atual Hedge 2008__Posição Hedge USD OIL" xfId="6477"/>
    <cellStyle name="_Posição Atual Hedge 2008_Hedge Positions" xfId="6478"/>
    <cellStyle name="_Postergações para 2007 " xfId="357"/>
    <cellStyle name="-_Prévia 1T10 Leo V3 18 04 10" xfId="9409"/>
    <cellStyle name="_ProvisionamentoCC_Contax_set2007_S106S128S154S209 (3)" xfId="358"/>
    <cellStyle name="-_Resultados mensais - Arquivo base maio 2010" xfId="6479"/>
    <cellStyle name="-_Resultados mensais - Arquivo base maio 2010 2" xfId="9410"/>
    <cellStyle name="-_Resultados mensais - Arquivo base maio 2010_Base ITR Set-10 - Ajustes Resmat" xfId="6480"/>
    <cellStyle name="-_Statement Sky - Finance" xfId="359"/>
    <cellStyle name="_SubHeading" xfId="360"/>
    <cellStyle name="_SubHeading_DCF v01" xfId="361"/>
    <cellStyle name="_SubHeading_prestemp" xfId="362"/>
    <cellStyle name="_SubHeading_prestemp 2" xfId="363"/>
    <cellStyle name="_SubHeading_prestemp_Capex Book 0808" xfId="364"/>
    <cellStyle name="_SubHeading_prestemp_Capex Book Out 08" xfId="365"/>
    <cellStyle name="_SubHeading_prestemp_Capex Jan_08" xfId="366"/>
    <cellStyle name="_SubHeading_prestemp_Capex Nov" xfId="367"/>
    <cellStyle name="_SubHeading_prestemp_cristina dre e capex" xfId="368"/>
    <cellStyle name="_SubHeading_prestemp_DRE" xfId="369"/>
    <cellStyle name="_SubHeading_prestemp_Res capex Set 2008" xfId="370"/>
    <cellStyle name="_Table" xfId="371"/>
    <cellStyle name="_Table_Capex Book 0808" xfId="372"/>
    <cellStyle name="_Table_Capex Book 0808 2" xfId="373"/>
    <cellStyle name="_Table_Capex Book Out 08" xfId="374"/>
    <cellStyle name="_Table_Capex Book Out 08 2" xfId="375"/>
    <cellStyle name="_Table_Capex Jan_08" xfId="376"/>
    <cellStyle name="_Table_Capex Jan_08 2" xfId="377"/>
    <cellStyle name="_Table_Capex Nov" xfId="378"/>
    <cellStyle name="_Table_Capex Nov 2" xfId="379"/>
    <cellStyle name="_Table_cristina dre e capex" xfId="380"/>
    <cellStyle name="_Table_cristina dre e capex 2" xfId="381"/>
    <cellStyle name="_Table_DCF v01" xfId="382"/>
    <cellStyle name="_Table_DCF v01 2" xfId="6481"/>
    <cellStyle name="_Table_DCF v01_lalur" xfId="383"/>
    <cellStyle name="_Table_DCF v01_lalur 2" xfId="6482"/>
    <cellStyle name="_Table_DRE" xfId="384"/>
    <cellStyle name="_Table_DRE 2" xfId="385"/>
    <cellStyle name="_Table_Res capex Set 2008" xfId="386"/>
    <cellStyle name="_Table_Res capex Set 2008 2" xfId="387"/>
    <cellStyle name="_TableHead" xfId="388"/>
    <cellStyle name="_TableHead_Capex Book 0808" xfId="389"/>
    <cellStyle name="_TableHead_Capex Book Out 08" xfId="390"/>
    <cellStyle name="_TableHead_Capex Jan_08" xfId="391"/>
    <cellStyle name="_TableHead_Capex Nov" xfId="392"/>
    <cellStyle name="_TableHead_cristina dre e capex" xfId="393"/>
    <cellStyle name="_TableHead_DRE" xfId="394"/>
    <cellStyle name="_TableHead_lalur" xfId="395"/>
    <cellStyle name="_TableHead_Res capex Set 2008" xfId="396"/>
    <cellStyle name="_TableRowBorder" xfId="397"/>
    <cellStyle name="_TableRowBorder 2" xfId="6483"/>
    <cellStyle name="_TableRowBorder_lalur" xfId="398"/>
    <cellStyle name="_TableRowHead" xfId="399"/>
    <cellStyle name="_TableSuperHead" xfId="400"/>
    <cellStyle name="_TableSuperHead_DCF v01" xfId="401"/>
    <cellStyle name="_Tendência fluxo de caixa 31.01.2007_Modelo Folha" xfId="402"/>
    <cellStyle name="_Tendência saldo final de caixa dezembro 2006" xfId="403"/>
    <cellStyle name="_Tendência saldo final de caixa dezembro 2006_A" xfId="404"/>
    <cellStyle name="-_Usgaap1" xfId="405"/>
    <cellStyle name="-_Usgaap1_30.06.09 - Análise de contas IFRS" xfId="9411"/>
    <cellStyle name="-_Usgaap1_Base Apresentação" xfId="6484"/>
    <cellStyle name="-_Usgaap1_Base Apresentação 2" xfId="9412"/>
    <cellStyle name="-_Usgaap1_Base Apresentação_Base ITR Set-10 - Ajustes Resmat" xfId="6485"/>
    <cellStyle name="-_Usgaap1_Comparativo VP FIN v1_So 2008" xfId="6486"/>
    <cellStyle name="-_Usgaap1_Comparativo VP MKT 2008 v1_So 2008" xfId="6487"/>
    <cellStyle name="-_Usgaap1_Comparativo VP TEC 2008 v1_So 2008" xfId="6488"/>
    <cellStyle name="-_Usgaap1_Comparativo VP TEC 2008_Luiz Sergio" xfId="6489"/>
    <cellStyle name="-_Usgaap1_Cópia de Análise de contas IFRS 2009" xfId="9413"/>
    <cellStyle name="-_Usgaap1_Cópia de Modelo - Fluxo de Caixa Orcamento 09052009_V36_3" xfId="406"/>
    <cellStyle name="-_Usgaap1_Fluxo de Caixa Orcamento FINAL_13052009" xfId="407"/>
    <cellStyle name="-_Usgaap1_FM_dummyV4" xfId="408"/>
    <cellStyle name="-_Usgaap1_lalur" xfId="409"/>
    <cellStyle name="-_Usgaap1_LALUR VRG 31-10-2009" xfId="410"/>
    <cellStyle name="-_Usgaap1_Leasing_V3" xfId="411"/>
    <cellStyle name="-_Usgaap1_MODELO PDP III" xfId="412"/>
    <cellStyle name="-_Usgaap1_ORÇ_2009" xfId="413"/>
    <cellStyle name="-_Usgaap1_Pasta2" xfId="414"/>
    <cellStyle name="-_Usgaap1_Prévia 1T10 Leo V3 18 04 10" xfId="9414"/>
    <cellStyle name="-_Usgaap1_Resultados mensais - Arquivo base maio 2010" xfId="6490"/>
    <cellStyle name="-_Usgaap1_Resultados mensais - Arquivo base maio 2010 2" xfId="9415"/>
    <cellStyle name="-_Usgaap1_Resultados mensais - Arquivo base maio 2010_Base ITR Set-10 - Ajustes Resmat" xfId="6491"/>
    <cellStyle name="-_Usgaap1_Statement Sky - Finance" xfId="415"/>
    <cellStyle name="_Variação capital de giro 2006" xfId="416"/>
    <cellStyle name="_WTIaverage" xfId="6492"/>
    <cellStyle name="_WTIaverage__Posição Hedge USD OIL" xfId="6493"/>
    <cellStyle name="_WTIaverage_Hedge Positions" xfId="6494"/>
    <cellStyle name="’Ê‰Ý [0.00]_GE 3 MINIMUM" xfId="417"/>
    <cellStyle name="’Ê‰Ý_GE 3 MINIMUM" xfId="418"/>
    <cellStyle name="£ BP" xfId="419"/>
    <cellStyle name="£0" xfId="420"/>
    <cellStyle name="£1" xfId="421"/>
    <cellStyle name="£2" xfId="422"/>
    <cellStyle name="¥ JY" xfId="423"/>
    <cellStyle name="=C:\WINNT\SYSTEM32\COMMAND.COM" xfId="424"/>
    <cellStyle name="=D:\WINNT\SYSTEM32\COMMAND.COM" xfId="6495"/>
    <cellStyle name="•W€_GE 3 MINIMUM" xfId="425"/>
    <cellStyle name="•W_GE 3 MINIMUM" xfId="426"/>
    <cellStyle name="0" xfId="427"/>
    <cellStyle name="0%" xfId="428"/>
    <cellStyle name="0% 2" xfId="6496"/>
    <cellStyle name="0,0_x000d__x000a_NA_x000d__x000a_" xfId="429"/>
    <cellStyle name="0,0_x000d__x000a_NA_x000d__x000a_ 2" xfId="430"/>
    <cellStyle name="0,0_x000d__x000a_NA_x000d__x000a__EC NET-EBT Abr09 Ref Mar09 - 15-Abr-09_v3" xfId="431"/>
    <cellStyle name="0.0" xfId="432"/>
    <cellStyle name="0.0%" xfId="433"/>
    <cellStyle name="0.0_Comparativo VP FIN v1_So 2008" xfId="6497"/>
    <cellStyle name="0.00" xfId="434"/>
    <cellStyle name="0.00%" xfId="435"/>
    <cellStyle name="0.00_Comparativo VP FIN v1_So 2008" xfId="6498"/>
    <cellStyle name="0.0x" xfId="436"/>
    <cellStyle name="0_chrw 10-29-02" xfId="437"/>
    <cellStyle name="0_chrw 10-29-02_Comparativo VP FIN v1_So 2008" xfId="6499"/>
    <cellStyle name="0_chrw 10-29-02_Comparativo VP MKT 2008 v1_So 2008" xfId="6500"/>
    <cellStyle name="0_chrw 10-29-02_Comparativo VP TEC 2008 v1_So 2008" xfId="6501"/>
    <cellStyle name="0_chrw 10-29-02_Comparativo VP TEC 2008_Luiz Sergio" xfId="6502"/>
    <cellStyle name="0_chrw 10-29-02_Cópia de Modelo - Fluxo de Caixa Orcamento 09052009_V36_3" xfId="438"/>
    <cellStyle name="0_chrw 10-29-02_Fluxo de Caixa Orcamento FINAL_13052009" xfId="439"/>
    <cellStyle name="0_chrw 10-29-02_FM_dummyV4" xfId="440"/>
    <cellStyle name="0_chrw 10-29-02_lalur" xfId="441"/>
    <cellStyle name="0_chrw 10-29-02_Leasing_V3" xfId="442"/>
    <cellStyle name="0_chrw 10-29-02_MODELO PDP III" xfId="443"/>
    <cellStyle name="0_chrw 10-29-02_ORÇ_2009" xfId="444"/>
    <cellStyle name="0_chrw 10-29-02_Pasta2" xfId="445"/>
    <cellStyle name="0_Comparativo VP FIN v1_So 2008" xfId="6503"/>
    <cellStyle name="0_Comparativo VP MKT 2008 v1_So 2008" xfId="6504"/>
    <cellStyle name="0_Comparativo VP TEC 2008 v1_So 2008" xfId="6505"/>
    <cellStyle name="0_Comparativo VP TEC 2008_Luiz Sergio" xfId="6506"/>
    <cellStyle name="0_Cópia de Modelo - Fluxo de Caixa Orcamento 09052009_V36_3" xfId="446"/>
    <cellStyle name="0_Fluxo de Caixa Orcamento FINAL_13052009" xfId="447"/>
    <cellStyle name="0_FM_dummyV4" xfId="448"/>
    <cellStyle name="0_lalur" xfId="449"/>
    <cellStyle name="0_Leasing_V3" xfId="450"/>
    <cellStyle name="0_MODELO PDP III" xfId="451"/>
    <cellStyle name="0_ORÇ_2009" xfId="452"/>
    <cellStyle name="0_Pasta2" xfId="453"/>
    <cellStyle name="0_Q2 pipeline" xfId="454"/>
    <cellStyle name="0_Q2 pipeline 2" xfId="6507"/>
    <cellStyle name="0_Q2 pipeline_Cópia de Modelo - Fluxo de Caixa Orcamento 09052009_V36_3" xfId="455"/>
    <cellStyle name="0_Q2 pipeline_Cópia de Modelo - Fluxo de Caixa Orcamento 09052009_V36_3 2" xfId="6508"/>
    <cellStyle name="0_Q2 pipeline_Fluxo de Caixa Orcamento FINAL_13052009" xfId="456"/>
    <cellStyle name="0_Q2 pipeline_Fluxo de Caixa Orcamento FINAL_13052009 2" xfId="6509"/>
    <cellStyle name="0_Q2 pipeline_FM_dummyV4" xfId="457"/>
    <cellStyle name="0_Q2 pipeline_lalur" xfId="458"/>
    <cellStyle name="0_Q2 pipeline_Leasing_V3" xfId="459"/>
    <cellStyle name="0_Q2 pipeline_MODELO PDP III" xfId="460"/>
    <cellStyle name="0_Q2 pipeline_ORÇ_2009" xfId="461"/>
    <cellStyle name="0_Q2 pipeline_ORÇ_2009 2" xfId="6510"/>
    <cellStyle name="0_Q2 pipeline_Pasta2" xfId="462"/>
    <cellStyle name="0_Q2 pipeline_Pasta2 2" xfId="6511"/>
    <cellStyle name="0000" xfId="463"/>
    <cellStyle name="0000 2" xfId="464"/>
    <cellStyle name="0000_INFO" xfId="465"/>
    <cellStyle name="000000" xfId="466"/>
    <cellStyle name="000000 2" xfId="467"/>
    <cellStyle name="000000_INFO" xfId="468"/>
    <cellStyle name="1" xfId="6512"/>
    <cellStyle name="1 2" xfId="6513"/>
    <cellStyle name="1_RK Pay tv MM ABC 18a34 Progrmas prime" xfId="6514"/>
    <cellStyle name="1_RK Pay tv MM ABC 18a34 Progrmas tt" xfId="6515"/>
    <cellStyle name="10" xfId="6516"/>
    <cellStyle name="10 2" xfId="6517"/>
    <cellStyle name="11" xfId="6518"/>
    <cellStyle name="11 2" xfId="6519"/>
    <cellStyle name="12" xfId="6520"/>
    <cellStyle name="12 2" xfId="6521"/>
    <cellStyle name="13" xfId="6522"/>
    <cellStyle name="13 2" xfId="6523"/>
    <cellStyle name="14" xfId="6524"/>
    <cellStyle name="14 2" xfId="6525"/>
    <cellStyle name="15" xfId="6526"/>
    <cellStyle name="15 2" xfId="6527"/>
    <cellStyle name="16" xfId="6528"/>
    <cellStyle name="16 2" xfId="6529"/>
    <cellStyle name="17" xfId="6530"/>
    <cellStyle name="17 2" xfId="6531"/>
    <cellStyle name="18" xfId="6532"/>
    <cellStyle name="18 2" xfId="6533"/>
    <cellStyle name="19" xfId="6534"/>
    <cellStyle name="19 2" xfId="6535"/>
    <cellStyle name="1DEC%" xfId="469"/>
    <cellStyle name="1o.nível" xfId="470"/>
    <cellStyle name="2" xfId="6536"/>
    <cellStyle name="2 2" xfId="6537"/>
    <cellStyle name="20" xfId="6538"/>
    <cellStyle name="20 2" xfId="6539"/>
    <cellStyle name="20% - Accent1" xfId="471"/>
    <cellStyle name="20% - Accent1 2" xfId="472"/>
    <cellStyle name="20% - Accent2" xfId="473"/>
    <cellStyle name="20% - Accent2 2" xfId="474"/>
    <cellStyle name="20% - Accent3" xfId="475"/>
    <cellStyle name="20% - Accent3 2" xfId="476"/>
    <cellStyle name="20% - Accent4" xfId="477"/>
    <cellStyle name="20% - Accent4 2" xfId="478"/>
    <cellStyle name="20% - Accent5" xfId="479"/>
    <cellStyle name="20% - Accent5 2" xfId="480"/>
    <cellStyle name="20% - Accent6" xfId="481"/>
    <cellStyle name="20% - Accent6 2" xfId="482"/>
    <cellStyle name="20% - Ênfase1 2" xfId="4"/>
    <cellStyle name="20% - Ênfase1 3" xfId="6540"/>
    <cellStyle name="20% - Ênfase1 4" xfId="6541"/>
    <cellStyle name="20% - Ênfase1 5" xfId="9416"/>
    <cellStyle name="20% - Ênfase1 6" xfId="9417"/>
    <cellStyle name="20% - Ênfase1 7" xfId="9418"/>
    <cellStyle name="20% - Ênfase1 8" xfId="6259"/>
    <cellStyle name="20% - Ênfase1 8 2" xfId="9499"/>
    <cellStyle name="20% - Ênfase2 2" xfId="5"/>
    <cellStyle name="20% - Ênfase2 3" xfId="6542"/>
    <cellStyle name="20% - Ênfase2 4" xfId="6543"/>
    <cellStyle name="20% - Ênfase2 5" xfId="9419"/>
    <cellStyle name="20% - Ênfase2 6" xfId="9420"/>
    <cellStyle name="20% - Ênfase2 7" xfId="9421"/>
    <cellStyle name="20% - Ênfase2 8" xfId="6263"/>
    <cellStyle name="20% - Ênfase2 8 2" xfId="9500"/>
    <cellStyle name="20% - Ênfase3 2" xfId="6"/>
    <cellStyle name="20% - Ênfase3 3" xfId="6544"/>
    <cellStyle name="20% - Ênfase3 4" xfId="6545"/>
    <cellStyle name="20% - Ênfase3 5" xfId="9422"/>
    <cellStyle name="20% - Ênfase3 6" xfId="9423"/>
    <cellStyle name="20% - Ênfase3 7" xfId="9424"/>
    <cellStyle name="20% - Ênfase3 8" xfId="6267"/>
    <cellStyle name="20% - Ênfase3 8 2" xfId="9501"/>
    <cellStyle name="20% - Ênfase4 2" xfId="7"/>
    <cellStyle name="20% - Ênfase4 3" xfId="6546"/>
    <cellStyle name="20% - Ênfase4 4" xfId="6547"/>
    <cellStyle name="20% - Ênfase4 5" xfId="9425"/>
    <cellStyle name="20% - Ênfase4 6" xfId="9426"/>
    <cellStyle name="20% - Ênfase4 7" xfId="9427"/>
    <cellStyle name="20% - Ênfase4 8" xfId="6271"/>
    <cellStyle name="20% - Ênfase4 8 2" xfId="9502"/>
    <cellStyle name="20% - Ênfase5 2" xfId="8"/>
    <cellStyle name="20% - Ênfase5 3" xfId="6548"/>
    <cellStyle name="20% - Ênfase5 4" xfId="6549"/>
    <cellStyle name="20% - Ênfase5 5" xfId="9428"/>
    <cellStyle name="20% - Ênfase5 6" xfId="9429"/>
    <cellStyle name="20% - Ênfase5 7" xfId="9430"/>
    <cellStyle name="20% - Ênfase5 8" xfId="6275"/>
    <cellStyle name="20% - Ênfase5 8 2" xfId="9503"/>
    <cellStyle name="20% - Ênfase6 2" xfId="9"/>
    <cellStyle name="20% - Ênfase6 3" xfId="6550"/>
    <cellStyle name="20% - Ênfase6 4" xfId="6551"/>
    <cellStyle name="20% - Ênfase6 5" xfId="9431"/>
    <cellStyle name="20% - Ênfase6 6" xfId="9432"/>
    <cellStyle name="20% - Ênfase6 7" xfId="9433"/>
    <cellStyle name="20% - Ênfase6 8" xfId="6279"/>
    <cellStyle name="20% - Ênfase6 8 2" xfId="9504"/>
    <cellStyle name="21" xfId="6552"/>
    <cellStyle name="21 2" xfId="6553"/>
    <cellStyle name="22" xfId="6554"/>
    <cellStyle name="22 2" xfId="6555"/>
    <cellStyle name="23" xfId="6556"/>
    <cellStyle name="23 2" xfId="6557"/>
    <cellStyle name="23 3" xfId="6558"/>
    <cellStyle name="24" xfId="6559"/>
    <cellStyle name="24 2" xfId="6560"/>
    <cellStyle name="25" xfId="6561"/>
    <cellStyle name="25 2" xfId="6562"/>
    <cellStyle name="26" xfId="6563"/>
    <cellStyle name="26 2" xfId="6564"/>
    <cellStyle name="27" xfId="6565"/>
    <cellStyle name="27 2" xfId="6566"/>
    <cellStyle name="28" xfId="6567"/>
    <cellStyle name="28 2" xfId="6568"/>
    <cellStyle name="29" xfId="6569"/>
    <cellStyle name="29 2" xfId="6570"/>
    <cellStyle name="2line" xfId="6571"/>
    <cellStyle name="2o.nível" xfId="483"/>
    <cellStyle name="3" xfId="6572"/>
    <cellStyle name="3 2" xfId="6573"/>
    <cellStyle name="30" xfId="6574"/>
    <cellStyle name="30 2" xfId="6575"/>
    <cellStyle name="31" xfId="6576"/>
    <cellStyle name="31 2" xfId="6577"/>
    <cellStyle name="32" xfId="6578"/>
    <cellStyle name="32 2" xfId="6579"/>
    <cellStyle name="33" xfId="6580"/>
    <cellStyle name="33 2" xfId="6581"/>
    <cellStyle name="34" xfId="6582"/>
    <cellStyle name="34 2" xfId="6583"/>
    <cellStyle name="35" xfId="6584"/>
    <cellStyle name="35 2" xfId="6585"/>
    <cellStyle name="36" xfId="6586"/>
    <cellStyle name="36 2" xfId="6587"/>
    <cellStyle name="38" xfId="484"/>
    <cellStyle name="3DEC" xfId="485"/>
    <cellStyle name="4" xfId="6588"/>
    <cellStyle name="4 2" xfId="6589"/>
    <cellStyle name="40% - Accent1" xfId="486"/>
    <cellStyle name="40% - Accent1 2" xfId="487"/>
    <cellStyle name="40% - Accent2" xfId="488"/>
    <cellStyle name="40% - Accent2 2" xfId="489"/>
    <cellStyle name="40% - Accent3" xfId="490"/>
    <cellStyle name="40% - Accent3 2" xfId="491"/>
    <cellStyle name="40% - Accent4" xfId="492"/>
    <cellStyle name="40% - Accent4 2" xfId="493"/>
    <cellStyle name="40% - Accent5" xfId="494"/>
    <cellStyle name="40% - Accent5 2" xfId="495"/>
    <cellStyle name="40% - Accent6" xfId="496"/>
    <cellStyle name="40% - Accent6 2" xfId="497"/>
    <cellStyle name="40% - Ênfase1 2" xfId="10"/>
    <cellStyle name="40% - Ênfase1 2 2" xfId="9434"/>
    <cellStyle name="40% - Ênfase1 2 2 2" xfId="9505"/>
    <cellStyle name="40% - Ênfase1 3" xfId="6590"/>
    <cellStyle name="40% - Ênfase1 4" xfId="6591"/>
    <cellStyle name="40% - Ênfase1 5" xfId="9435"/>
    <cellStyle name="40% - Ênfase1 6" xfId="9436"/>
    <cellStyle name="40% - Ênfase1 7" xfId="9437"/>
    <cellStyle name="40% - Ênfase1 8" xfId="6260"/>
    <cellStyle name="40% - Ênfase1 8 2" xfId="9506"/>
    <cellStyle name="40% - Ênfase2 2" xfId="11"/>
    <cellStyle name="40% - Ênfase2 3" xfId="6592"/>
    <cellStyle name="40% - Ênfase2 4" xfId="6593"/>
    <cellStyle name="40% - Ênfase2 5" xfId="9438"/>
    <cellStyle name="40% - Ênfase2 6" xfId="9439"/>
    <cellStyle name="40% - Ênfase2 7" xfId="9440"/>
    <cellStyle name="40% - Ênfase2 8" xfId="6264"/>
    <cellStyle name="40% - Ênfase2 8 2" xfId="9507"/>
    <cellStyle name="40% - Ênfase3 2" xfId="12"/>
    <cellStyle name="40% - Ênfase3 3" xfId="6594"/>
    <cellStyle name="40% - Ênfase3 4" xfId="6595"/>
    <cellStyle name="40% - Ênfase3 5" xfId="9441"/>
    <cellStyle name="40% - Ênfase3 6" xfId="9442"/>
    <cellStyle name="40% - Ênfase3 7" xfId="9443"/>
    <cellStyle name="40% - Ênfase3 8" xfId="6268"/>
    <cellStyle name="40% - Ênfase3 8 2" xfId="9508"/>
    <cellStyle name="40% - Ênfase4 2" xfId="13"/>
    <cellStyle name="40% - Ênfase4 3" xfId="6596"/>
    <cellStyle name="40% - Ênfase4 4" xfId="6597"/>
    <cellStyle name="40% - Ênfase4 5" xfId="9444"/>
    <cellStyle name="40% - Ênfase4 6" xfId="9445"/>
    <cellStyle name="40% - Ênfase4 7" xfId="9446"/>
    <cellStyle name="40% - Ênfase4 8" xfId="6272"/>
    <cellStyle name="40% - Ênfase4 8 2" xfId="9509"/>
    <cellStyle name="40% - Ênfase5 2" xfId="14"/>
    <cellStyle name="40% - Ênfase5 3" xfId="6598"/>
    <cellStyle name="40% - Ênfase5 4" xfId="6599"/>
    <cellStyle name="40% - Ênfase5 5" xfId="9447"/>
    <cellStyle name="40% - Ênfase5 6" xfId="9448"/>
    <cellStyle name="40% - Ênfase5 7" xfId="9449"/>
    <cellStyle name="40% - Ênfase5 8" xfId="6276"/>
    <cellStyle name="40% - Ênfase5 8 2" xfId="9510"/>
    <cellStyle name="40% - Ênfase6 2" xfId="15"/>
    <cellStyle name="40% - Ênfase6 3" xfId="6600"/>
    <cellStyle name="40% - Ênfase6 4" xfId="6601"/>
    <cellStyle name="40% - Ênfase6 5" xfId="9450"/>
    <cellStyle name="40% - Ênfase6 6" xfId="9451"/>
    <cellStyle name="40% - Ênfase6 7" xfId="9452"/>
    <cellStyle name="40% - Ênfase6 8" xfId="6280"/>
    <cellStyle name="40% - Ênfase6 8 2" xfId="9511"/>
    <cellStyle name="5" xfId="6602"/>
    <cellStyle name="5 2" xfId="6603"/>
    <cellStyle name="5_Pay tv2" xfId="6604"/>
    <cellStyle name="5_RK Pay tv MM ABC 18a34 Progrmas prime" xfId="6605"/>
    <cellStyle name="5_RK Pay tv MM ABC 18a34 Progrmas tt" xfId="6606"/>
    <cellStyle name="6" xfId="6607"/>
    <cellStyle name="6 2" xfId="6608"/>
    <cellStyle name="6_Pay tv2" xfId="6609"/>
    <cellStyle name="6_RK Pay tv MM ABC 18a34 Progrmas prime" xfId="6610"/>
    <cellStyle name="6_RK Pay tv MM ABC 18a34 Progrmas tt" xfId="6611"/>
    <cellStyle name="60% - Accent1" xfId="498"/>
    <cellStyle name="60% - Accent1 2" xfId="499"/>
    <cellStyle name="60% - Accent2" xfId="500"/>
    <cellStyle name="60% - Accent2 2" xfId="501"/>
    <cellStyle name="60% - Accent3" xfId="502"/>
    <cellStyle name="60% - Accent3 2" xfId="503"/>
    <cellStyle name="60% - Accent4" xfId="504"/>
    <cellStyle name="60% - Accent4 2" xfId="505"/>
    <cellStyle name="60% - Accent5" xfId="506"/>
    <cellStyle name="60% - Accent5 2" xfId="507"/>
    <cellStyle name="60% - Accent6" xfId="508"/>
    <cellStyle name="60% - Accent6 2" xfId="509"/>
    <cellStyle name="60% - Ênfase1 2" xfId="16"/>
    <cellStyle name="60% - Ênfase1 3" xfId="6612"/>
    <cellStyle name="60% - Ênfase1 4" xfId="6613"/>
    <cellStyle name="60% - Ênfase1 5" xfId="9453"/>
    <cellStyle name="60% - Ênfase1 6" xfId="9454"/>
    <cellStyle name="60% - Ênfase1 7" xfId="9455"/>
    <cellStyle name="60% - Ênfase1 8" xfId="6261"/>
    <cellStyle name="60% - Ênfase2 2" xfId="17"/>
    <cellStyle name="60% - Ênfase2 3" xfId="6614"/>
    <cellStyle name="60% - Ênfase2 4" xfId="6615"/>
    <cellStyle name="60% - Ênfase2 5" xfId="9456"/>
    <cellStyle name="60% - Ênfase2 6" xfId="9457"/>
    <cellStyle name="60% - Ênfase2 7" xfId="9458"/>
    <cellStyle name="60% - Ênfase2 8" xfId="6265"/>
    <cellStyle name="60% - Ênfase3 2" xfId="18"/>
    <cellStyle name="60% - Ênfase3 3" xfId="6616"/>
    <cellStyle name="60% - Ênfase3 4" xfId="6617"/>
    <cellStyle name="60% - Ênfase3 5" xfId="9459"/>
    <cellStyle name="60% - Ênfase3 6" xfId="9460"/>
    <cellStyle name="60% - Ênfase3 7" xfId="9461"/>
    <cellStyle name="60% - Ênfase3 8" xfId="6269"/>
    <cellStyle name="60% - Ênfase4 2" xfId="19"/>
    <cellStyle name="60% - Ênfase4 3" xfId="6618"/>
    <cellStyle name="60% - Ênfase4 4" xfId="6619"/>
    <cellStyle name="60% - Ênfase4 5" xfId="9462"/>
    <cellStyle name="60% - Ênfase4 6" xfId="9463"/>
    <cellStyle name="60% - Ênfase4 7" xfId="9464"/>
    <cellStyle name="60% - Ênfase4 8" xfId="6273"/>
    <cellStyle name="60% - Ênfase5 2" xfId="20"/>
    <cellStyle name="60% - Ênfase5 3" xfId="6620"/>
    <cellStyle name="60% - Ênfase5 4" xfId="6621"/>
    <cellStyle name="60% - Ênfase5 5" xfId="9465"/>
    <cellStyle name="60% - Ênfase5 6" xfId="9466"/>
    <cellStyle name="60% - Ênfase5 7" xfId="9467"/>
    <cellStyle name="60% - Ênfase5 8" xfId="6277"/>
    <cellStyle name="60% - Ênfase6 2" xfId="21"/>
    <cellStyle name="60% - Ênfase6 3" xfId="6622"/>
    <cellStyle name="60% - Ênfase6 4" xfId="6623"/>
    <cellStyle name="60% - Ênfase6 5" xfId="9468"/>
    <cellStyle name="60% - Ênfase6 6" xfId="9469"/>
    <cellStyle name="60% - Ênfase6 7" xfId="9470"/>
    <cellStyle name="60% - Ênfase6 8" xfId="6281"/>
    <cellStyle name="7" xfId="6624"/>
    <cellStyle name="7 2" xfId="6625"/>
    <cellStyle name="7_Pay tv2" xfId="6626"/>
    <cellStyle name="7_RK Pay tv MM ABC 18a34 Progrmas prime" xfId="6627"/>
    <cellStyle name="7_RK Pay tv MM ABC 18a34 Progrmas tt" xfId="6628"/>
    <cellStyle name="752131" xfId="510"/>
    <cellStyle name="8" xfId="511"/>
    <cellStyle name="8 2" xfId="6629"/>
    <cellStyle name="8_Capex Book 0808" xfId="512"/>
    <cellStyle name="8_Capex Book Out 08" xfId="513"/>
    <cellStyle name="8_Capex Jan_08" xfId="514"/>
    <cellStyle name="8_Capex Nov" xfId="515"/>
    <cellStyle name="8_cristina dre e capex" xfId="516"/>
    <cellStyle name="8_DRE" xfId="517"/>
    <cellStyle name="8_EC NET-EBT Abr09 Ref Mar09 - 15-Abr-09_v3" xfId="518"/>
    <cellStyle name="8_EC NET-EBT Fev09 Ref  Jan09 - 15-Fev-09" xfId="519"/>
    <cellStyle name="8_EC NET-EBT Jan09 Ref  Dez08 - 15-Jan-09" xfId="520"/>
    <cellStyle name="8_EC NET-EBT Mar09 Ref Fev09 - 16-Mar-09" xfId="521"/>
    <cellStyle name="8_EC NET-EBT Ref  Ago08 - 15-09-08" xfId="522"/>
    <cellStyle name="8_EC NET-EBT Ref  Nov08 - 15-Dez-08_v2 (2)" xfId="523"/>
    <cellStyle name="8_EC NET-EBT Ref. Out08 - 11-11-08_v2" xfId="524"/>
    <cellStyle name="8_EC NET-EBT Ref. Set08 - 15-10-08" xfId="525"/>
    <cellStyle name="8_Estrutura das Praças Atualizado" xfId="526"/>
    <cellStyle name="8_Pay tv2" xfId="6630"/>
    <cellStyle name="8_Res capex Set 2008" xfId="527"/>
    <cellStyle name="8_RK Pay tv MM ABC 18a34 Progrmas prime" xfId="6631"/>
    <cellStyle name="8_RK Pay tv MM ABC 18a34 Progrmas tt" xfId="6632"/>
    <cellStyle name="9" xfId="6633"/>
    <cellStyle name="9 2" xfId="6634"/>
    <cellStyle name="9_Pay tv2" xfId="6635"/>
    <cellStyle name="9_RK Pay tv MM ABC 18a34 Progrmas prime" xfId="6636"/>
    <cellStyle name="9_RK Pay tv MM ABC 18a34 Progrmas tt" xfId="6637"/>
    <cellStyle name="A Big heading" xfId="528"/>
    <cellStyle name="A body text" xfId="529"/>
    <cellStyle name="A smaller heading" xfId="530"/>
    <cellStyle name="a_Divisão" xfId="531"/>
    <cellStyle name="a_normal" xfId="532"/>
    <cellStyle name="a_quebra_1" xfId="533"/>
    <cellStyle name="a_quebra_2" xfId="534"/>
    <cellStyle name="AbertBalan" xfId="535"/>
    <cellStyle name="Accent1" xfId="536"/>
    <cellStyle name="Accent1 - 20%" xfId="6638"/>
    <cellStyle name="Accent1 - 40%" xfId="6639"/>
    <cellStyle name="Accent1 - 60%" xfId="6640"/>
    <cellStyle name="Accent1 2" xfId="537"/>
    <cellStyle name="Accent1_CONBRAS_Estrutura%20de%20Precos_BARRA(2)" xfId="9471"/>
    <cellStyle name="Accent2" xfId="538"/>
    <cellStyle name="Accent2 - 20%" xfId="6641"/>
    <cellStyle name="Accent2 - 40%" xfId="6642"/>
    <cellStyle name="Accent2 - 60%" xfId="6643"/>
    <cellStyle name="Accent2 2" xfId="539"/>
    <cellStyle name="Accent2_CONBRAS_Estrutura%20de%20Precos_BARRA(2)" xfId="9472"/>
    <cellStyle name="Accent3" xfId="540"/>
    <cellStyle name="Accent3 - 20%" xfId="6644"/>
    <cellStyle name="Accent3 - 40%" xfId="6645"/>
    <cellStyle name="Accent3 - 60%" xfId="6646"/>
    <cellStyle name="Accent3 2" xfId="541"/>
    <cellStyle name="Accent3_CONBRAS_Estrutura%20de%20Precos_BARRA(2)" xfId="9473"/>
    <cellStyle name="Accent4" xfId="542"/>
    <cellStyle name="Accent4 - 20%" xfId="6647"/>
    <cellStyle name="Accent4 - 40%" xfId="6648"/>
    <cellStyle name="Accent4 - 60%" xfId="6649"/>
    <cellStyle name="Accent4 2" xfId="543"/>
    <cellStyle name="Accent4_CONBRAS_Estrutura%20de%20Precos_BARRA(2)" xfId="9474"/>
    <cellStyle name="Accent5" xfId="544"/>
    <cellStyle name="Accent5 - 20%" xfId="6650"/>
    <cellStyle name="Accent5 - 40%" xfId="6651"/>
    <cellStyle name="Accent5 - 60%" xfId="6652"/>
    <cellStyle name="Accent5 2" xfId="545"/>
    <cellStyle name="Accent5_CONBRAS_Estrutura%20de%20Precos_BARRA(2)" xfId="9475"/>
    <cellStyle name="Accent6" xfId="546"/>
    <cellStyle name="Accent6 - 20%" xfId="6653"/>
    <cellStyle name="Accent6 - 40%" xfId="6654"/>
    <cellStyle name="Accent6 - 60%" xfId="6655"/>
    <cellStyle name="Accent6 2" xfId="547"/>
    <cellStyle name="Accent6_CONBRAS_Estrutura%20de%20Precos_BARRA(2)" xfId="9476"/>
    <cellStyle name="Acctg" xfId="548"/>
    <cellStyle name="Acctg$" xfId="549"/>
    <cellStyle name="Acctg_20031216_Vírtua_Empresa" xfId="550"/>
    <cellStyle name="AFE" xfId="6656"/>
    <cellStyle name="aht" xfId="551"/>
    <cellStyle name="al" xfId="552"/>
    <cellStyle name="albert style" xfId="553"/>
    <cellStyle name="Alexandre" xfId="554"/>
    <cellStyle name="Amarelo%" xfId="555"/>
    <cellStyle name="Amarelocot" xfId="556"/>
    <cellStyle name="amount" xfId="557"/>
    <cellStyle name="Ano" xfId="558"/>
    <cellStyle name="Ano 2" xfId="6657"/>
    <cellStyle name="anobase" xfId="559"/>
    <cellStyle name="anos" xfId="560"/>
    <cellStyle name="apresent" xfId="561"/>
    <cellStyle name="Área" xfId="562"/>
    <cellStyle name="args.style" xfId="6658"/>
    <cellStyle name="Array" xfId="563"/>
    <cellStyle name="Array Enter" xfId="6659"/>
    <cellStyle name="ast" xfId="564"/>
    <cellStyle name="ast1" xfId="565"/>
    <cellStyle name="at" xfId="566"/>
    <cellStyle name="at 2" xfId="6660"/>
    <cellStyle name="Availability" xfId="567"/>
    <cellStyle name="b" xfId="568"/>
    <cellStyle name="b$0" xfId="569"/>
    <cellStyle name="b$1" xfId="570"/>
    <cellStyle name="b$2" xfId="571"/>
    <cellStyle name="b%0" xfId="572"/>
    <cellStyle name="b%1" xfId="573"/>
    <cellStyle name="b%1 2" xfId="6661"/>
    <cellStyle name="b%2" xfId="574"/>
    <cellStyle name="b_Q2 pipeline" xfId="575"/>
    <cellStyle name="b_Q2 pipeline 2" xfId="6662"/>
    <cellStyle name="b_Q2 pipeline_Cópia de Modelo - Fluxo de Caixa Orcamento 09052009_V36_3" xfId="576"/>
    <cellStyle name="b_Q2 pipeline_Cópia de Modelo - Fluxo de Caixa Orcamento 09052009_V36_3 2" xfId="6663"/>
    <cellStyle name="b_Q2 pipeline_Fluxo de Caixa Orcamento FINAL_13052009" xfId="577"/>
    <cellStyle name="b_Q2 pipeline_Fluxo de Caixa Orcamento FINAL_13052009 2" xfId="6664"/>
    <cellStyle name="b_Q2 pipeline_FM_dummyV4" xfId="578"/>
    <cellStyle name="b_Q2 pipeline_lalur" xfId="579"/>
    <cellStyle name="b_Q2 pipeline_Leasing_V3" xfId="580"/>
    <cellStyle name="b_Q2 pipeline_MODELO PDP III" xfId="581"/>
    <cellStyle name="b_Q2 pipeline_ORÇ_2009" xfId="582"/>
    <cellStyle name="b_Q2 pipeline_ORÇ_2009 2" xfId="6665"/>
    <cellStyle name="b_Q2 pipeline_Pasta2" xfId="583"/>
    <cellStyle name="b_Q2 pipeline_Pasta2 2" xfId="6666"/>
    <cellStyle name="b£0" xfId="584"/>
    <cellStyle name="b£1" xfId="585"/>
    <cellStyle name="b£2" xfId="586"/>
    <cellStyle name="b0" xfId="587"/>
    <cellStyle name="b0#" xfId="588"/>
    <cellStyle name="b0_Q2 pipeline" xfId="589"/>
    <cellStyle name="b1" xfId="590"/>
    <cellStyle name="b2" xfId="591"/>
    <cellStyle name="Bad" xfId="592"/>
    <cellStyle name="Bad 2" xfId="593"/>
    <cellStyle name="Barra" xfId="594"/>
    <cellStyle name="Barra 2" xfId="6667"/>
    <cellStyle name="BarraMês" xfId="595"/>
    <cellStyle name="base" xfId="596"/>
    <cellStyle name="base 2" xfId="6668"/>
    <cellStyle name="bch" xfId="6669"/>
    <cellStyle name="bci" xfId="6670"/>
    <cellStyle name="Black" xfId="597"/>
    <cellStyle name="blank" xfId="598"/>
    <cellStyle name="blank 2" xfId="599"/>
    <cellStyle name="Blue" xfId="600"/>
    <cellStyle name="Blue Font" xfId="601"/>
    <cellStyle name="Blue Font 2" xfId="602"/>
    <cellStyle name="Blue Font_INFO" xfId="603"/>
    <cellStyle name="bn0" xfId="604"/>
    <cellStyle name="bo" xfId="605"/>
    <cellStyle name="Body_BoldText" xfId="606"/>
    <cellStyle name="Bold 11" xfId="607"/>
    <cellStyle name="bold big" xfId="608"/>
    <cellStyle name="bold bot bord" xfId="609"/>
    <cellStyle name="bold underline" xfId="610"/>
    <cellStyle name="Bold/Border" xfId="611"/>
    <cellStyle name="Bold/Border 2" xfId="612"/>
    <cellStyle name="Bold/Border_INFO" xfId="613"/>
    <cellStyle name="boldno$" xfId="614"/>
    <cellStyle name="boldwith$" xfId="615"/>
    <cellStyle name="bolet" xfId="616"/>
    <cellStyle name="Bom 2" xfId="22"/>
    <cellStyle name="Bom 3" xfId="6231"/>
    <cellStyle name="Bom 4" xfId="6671"/>
    <cellStyle name="Bom 5" xfId="9477"/>
    <cellStyle name="Bom 6" xfId="9478"/>
    <cellStyle name="Bom 7" xfId="9479"/>
    <cellStyle name="Bom 8" xfId="6246"/>
    <cellStyle name="Border Bottom Thick" xfId="617"/>
    <cellStyle name="Border Top Thin" xfId="618"/>
    <cellStyle name="Border Top Thin 2" xfId="6672"/>
    <cellStyle name="Bottom" xfId="619"/>
    <cellStyle name="Bottom 2" xfId="6673"/>
    <cellStyle name="bs0" xfId="620"/>
    <cellStyle name="bss0" xfId="621"/>
    <cellStyle name="bss0 2" xfId="6674"/>
    <cellStyle name="bss2" xfId="622"/>
    <cellStyle name="bss2 2" xfId="6675"/>
    <cellStyle name="bt" xfId="623"/>
    <cellStyle name="bt 2" xfId="6676"/>
    <cellStyle name="Bullet" xfId="624"/>
    <cellStyle name="bx0" xfId="625"/>
    <cellStyle name="bx1" xfId="626"/>
    <cellStyle name="bx2" xfId="627"/>
    <cellStyle name="c" xfId="628"/>
    <cellStyle name="c_~0031896" xfId="629"/>
    <cellStyle name="c_~0031896_Comparativo VP FIN v1_So 2008" xfId="6677"/>
    <cellStyle name="c_~0031896_Comparativo VP MKT 2008 v1_So 2008" xfId="6678"/>
    <cellStyle name="c_~0031896_Comparativo VP TEC 2008 v1_So 2008" xfId="6679"/>
    <cellStyle name="c_~0031896_Comparativo VP TEC 2008_Luiz Sergio" xfId="6680"/>
    <cellStyle name="c_~0031896_Cópia de Modelo - Fluxo de Caixa Orcamento 09052009_V36_3" xfId="630"/>
    <cellStyle name="c_~0031896_Fluxo de Caixa Orcamento FINAL_13052009" xfId="631"/>
    <cellStyle name="c_~0031896_FM_dummyV4" xfId="632"/>
    <cellStyle name="c_~0031896_lalur" xfId="633"/>
    <cellStyle name="c_~0031896_Leasing_V3" xfId="634"/>
    <cellStyle name="c_~0031896_MODELO PDP III" xfId="635"/>
    <cellStyle name="c_~0031896_ORÇ_2009" xfId="636"/>
    <cellStyle name="c_~0031896_Pasta2" xfId="637"/>
    <cellStyle name="c_~0031896_Q2 pipeline" xfId="638"/>
    <cellStyle name="c_~0031896_Q2 pipeline 2" xfId="6681"/>
    <cellStyle name="c_~0031896_Q2 pipeline_Cópia de Modelo - Fluxo de Caixa Orcamento 09052009_V36_3" xfId="639"/>
    <cellStyle name="c_~0031896_Q2 pipeline_Cópia de Modelo - Fluxo de Caixa Orcamento 09052009_V36_3 2" xfId="6682"/>
    <cellStyle name="c_~0031896_Q2 pipeline_Fluxo de Caixa Orcamento FINAL_13052009" xfId="640"/>
    <cellStyle name="c_~0031896_Q2 pipeline_Fluxo de Caixa Orcamento FINAL_13052009 2" xfId="6683"/>
    <cellStyle name="c_~0031896_Q2 pipeline_FM_dummyV4" xfId="641"/>
    <cellStyle name="c_~0031896_Q2 pipeline_lalur" xfId="642"/>
    <cellStyle name="c_~0031896_Q2 pipeline_Leasing_V3" xfId="643"/>
    <cellStyle name="c_~0031896_Q2 pipeline_MODELO PDP III" xfId="644"/>
    <cellStyle name="c_~0031896_Q2 pipeline_ORÇ_2009" xfId="645"/>
    <cellStyle name="c_~0031896_Q2 pipeline_ORÇ_2009 2" xfId="6684"/>
    <cellStyle name="c_~0031896_Q2 pipeline_Pasta2" xfId="646"/>
    <cellStyle name="c_~0031896_Q2 pipeline_Pasta2 2" xfId="6685"/>
    <cellStyle name="c_Acc (Dil) Matrix (2)" xfId="647"/>
    <cellStyle name="c_Acc (Dil) Matrix (2)_Comparativo VP FIN v1_So 2008" xfId="6686"/>
    <cellStyle name="c_Acc (Dil) Matrix (2)_Comparativo VP MKT 2008 v1_So 2008" xfId="6687"/>
    <cellStyle name="c_Acc (Dil) Matrix (2)_Comparativo VP TEC 2008 v1_So 2008" xfId="6688"/>
    <cellStyle name="c_Acc (Dil) Matrix (2)_Comparativo VP TEC 2008_Luiz Sergio" xfId="6689"/>
    <cellStyle name="c_Acc (Dil) Matrix (2)_Cópia de Modelo - Fluxo de Caixa Orcamento 09052009_V36_3" xfId="648"/>
    <cellStyle name="c_Acc (Dil) Matrix (2)_Fluxo de Caixa Orcamento FINAL_13052009" xfId="649"/>
    <cellStyle name="c_Acc (Dil) Matrix (2)_FM_dummyV4" xfId="650"/>
    <cellStyle name="c_Acc (Dil) Matrix (2)_lalur" xfId="651"/>
    <cellStyle name="c_Acc (Dil) Matrix (2)_Leasing_V3" xfId="652"/>
    <cellStyle name="c_Acc (Dil) Matrix (2)_MODELO PDP III" xfId="653"/>
    <cellStyle name="c_Acc (Dil) Matrix (2)_ORÇ_2009" xfId="654"/>
    <cellStyle name="c_Acc (Dil) Matrix (2)_Pasta2" xfId="655"/>
    <cellStyle name="c_Ariz_Nevada (2)" xfId="656"/>
    <cellStyle name="c_Ariz_Nevada (2)_Comparativo VP FIN v1_So 2008" xfId="6690"/>
    <cellStyle name="c_Ariz_Nevada (2)_Comparativo VP MKT 2008 v1_So 2008" xfId="6691"/>
    <cellStyle name="c_Ariz_Nevada (2)_Comparativo VP TEC 2008 v1_So 2008" xfId="6692"/>
    <cellStyle name="c_Ariz_Nevada (2)_Comparativo VP TEC 2008_Luiz Sergio" xfId="6693"/>
    <cellStyle name="c_Ariz_Nevada (2)_Cópia de Modelo - Fluxo de Caixa Orcamento 09052009_V36_3" xfId="657"/>
    <cellStyle name="c_Ariz_Nevada (2)_Fluxo de Caixa Orcamento FINAL_13052009" xfId="658"/>
    <cellStyle name="c_Ariz_Nevada (2)_FM_dummyV4" xfId="659"/>
    <cellStyle name="c_Ariz_Nevada (2)_lalur" xfId="660"/>
    <cellStyle name="c_Ariz_Nevada (2)_Leasing_V3" xfId="661"/>
    <cellStyle name="c_Ariz_Nevada (2)_MODELO PDP III" xfId="662"/>
    <cellStyle name="c_Ariz_Nevada (2)_ORÇ_2009" xfId="663"/>
    <cellStyle name="c_Ariz_Nevada (2)_Pasta2" xfId="664"/>
    <cellStyle name="c_Bal Sheets" xfId="665"/>
    <cellStyle name="c_Bal Sheets (2)" xfId="666"/>
    <cellStyle name="c_Bal Sheets (2)_Comparativo VP FIN v1_So 2008" xfId="6694"/>
    <cellStyle name="c_Bal Sheets (2)_Comparativo VP MKT 2008 v1_So 2008" xfId="6695"/>
    <cellStyle name="c_Bal Sheets (2)_Comparativo VP TEC 2008 v1_So 2008" xfId="6696"/>
    <cellStyle name="c_Bal Sheets (2)_Comparativo VP TEC 2008_Luiz Sergio" xfId="6697"/>
    <cellStyle name="c_Bal Sheets (2)_Cópia de Modelo - Fluxo de Caixa Orcamento 09052009_V36_3" xfId="667"/>
    <cellStyle name="c_Bal Sheets (2)_Fluxo de Caixa Orcamento FINAL_13052009" xfId="668"/>
    <cellStyle name="c_Bal Sheets (2)_FM_dummyV4" xfId="669"/>
    <cellStyle name="c_Bal Sheets (2)_lalur" xfId="670"/>
    <cellStyle name="c_Bal Sheets (2)_Leasing_V3" xfId="671"/>
    <cellStyle name="c_Bal Sheets (2)_MODELO PDP III" xfId="672"/>
    <cellStyle name="c_Bal Sheets (2)_ORÇ_2009" xfId="673"/>
    <cellStyle name="c_Bal Sheets (2)_Pasta2" xfId="674"/>
    <cellStyle name="c_Bal Sheets_Comparativo VP FIN v1_So 2008" xfId="6698"/>
    <cellStyle name="c_Bal Sheets_Comparativo VP MKT 2008 v1_So 2008" xfId="6699"/>
    <cellStyle name="c_Bal Sheets_Comparativo VP TEC 2008 v1_So 2008" xfId="6700"/>
    <cellStyle name="c_Bal Sheets_Comparativo VP TEC 2008_Luiz Sergio" xfId="6701"/>
    <cellStyle name="c_Bal Sheets_Cópia de Modelo - Fluxo de Caixa Orcamento 09052009_V36_3" xfId="675"/>
    <cellStyle name="c_Bal Sheets_Fluxo de Caixa Orcamento FINAL_13052009" xfId="676"/>
    <cellStyle name="c_Bal Sheets_FM_dummyV4" xfId="677"/>
    <cellStyle name="c_Bal Sheets_lalur" xfId="678"/>
    <cellStyle name="c_Bal Sheets_Leasing_V3" xfId="679"/>
    <cellStyle name="c_Bal Sheets_MODELO PDP III" xfId="680"/>
    <cellStyle name="c_Bal Sheets_ORÇ_2009" xfId="681"/>
    <cellStyle name="c_Bal Sheets_Pasta2" xfId="682"/>
    <cellStyle name="c_Base Apresentação" xfId="6702"/>
    <cellStyle name="c_Base Apresentação 2" xfId="9480"/>
    <cellStyle name="c_Base Apresentação_Base ITR Set-10 - Ajustes Resmat" xfId="6703"/>
    <cellStyle name="c_CA Cases (2)" xfId="683"/>
    <cellStyle name="c_CA Cases (2)_Comparativo VP FIN v1_So 2008" xfId="6704"/>
    <cellStyle name="c_CA Cases (2)_Comparativo VP MKT 2008 v1_So 2008" xfId="6705"/>
    <cellStyle name="c_CA Cases (2)_Comparativo VP TEC 2008 v1_So 2008" xfId="6706"/>
    <cellStyle name="c_CA Cases (2)_Comparativo VP TEC 2008_Luiz Sergio" xfId="6707"/>
    <cellStyle name="c_CA Cases (2)_Cópia de Modelo - Fluxo de Caixa Orcamento 09052009_V36_3" xfId="684"/>
    <cellStyle name="c_CA Cases (2)_Fluxo de Caixa Orcamento FINAL_13052009" xfId="685"/>
    <cellStyle name="c_CA Cases (2)_FM_dummyV4" xfId="686"/>
    <cellStyle name="c_CA Cases (2)_lalur" xfId="687"/>
    <cellStyle name="c_CA Cases (2)_Leasing_V3" xfId="688"/>
    <cellStyle name="c_CA Cases (2)_MODELO PDP III" xfId="689"/>
    <cellStyle name="c_CA Cases (2)_ORÇ_2009" xfId="690"/>
    <cellStyle name="c_CA Cases (2)_Pasta2" xfId="691"/>
    <cellStyle name="c_Cal. (2)" xfId="692"/>
    <cellStyle name="c_Cal. (2)_Comparativo VP FIN v1_So 2008" xfId="6708"/>
    <cellStyle name="c_Cal. (2)_Comparativo VP MKT 2008 v1_So 2008" xfId="6709"/>
    <cellStyle name="c_Cal. (2)_Comparativo VP TEC 2008 v1_So 2008" xfId="6710"/>
    <cellStyle name="c_Cal. (2)_Comparativo VP TEC 2008_Luiz Sergio" xfId="6711"/>
    <cellStyle name="c_Cal. (2)_Cópia de Modelo - Fluxo de Caixa Orcamento 09052009_V36_3" xfId="693"/>
    <cellStyle name="c_Cal. (2)_Fluxo de Caixa Orcamento FINAL_13052009" xfId="694"/>
    <cellStyle name="c_Cal. (2)_FM_dummyV4" xfId="695"/>
    <cellStyle name="c_Cal. (2)_lalur" xfId="696"/>
    <cellStyle name="c_Cal. (2)_Leasing_V3" xfId="697"/>
    <cellStyle name="c_Cal. (2)_MODELO PDP III" xfId="698"/>
    <cellStyle name="c_Cal. (2)_ORÇ_2009" xfId="699"/>
    <cellStyle name="c_Cal. (2)_Pasta2" xfId="700"/>
    <cellStyle name="c_Cases (2)" xfId="701"/>
    <cellStyle name="c_Cases (2)_Comparativo VP FIN v1_So 2008" xfId="6712"/>
    <cellStyle name="c_Cases (2)_Comparativo VP MKT 2008 v1_So 2008" xfId="6713"/>
    <cellStyle name="c_Cases (2)_Comparativo VP TEC 2008 v1_So 2008" xfId="6714"/>
    <cellStyle name="c_Cases (2)_Comparativo VP TEC 2008_Luiz Sergio" xfId="6715"/>
    <cellStyle name="c_Cases (2)_Cópia de Modelo - Fluxo de Caixa Orcamento 09052009_V36_3" xfId="702"/>
    <cellStyle name="c_Cases (2)_Fluxo de Caixa Orcamento FINAL_13052009" xfId="703"/>
    <cellStyle name="c_Cases (2)_FM_dummyV4" xfId="704"/>
    <cellStyle name="c_Cases (2)_lalur" xfId="705"/>
    <cellStyle name="c_Cases (2)_Leasing_V3" xfId="706"/>
    <cellStyle name="c_Cases (2)_MODELO PDP III" xfId="707"/>
    <cellStyle name="c_Cases (2)_ORÇ_2009" xfId="708"/>
    <cellStyle name="c_Cases (2)_Pasta2" xfId="709"/>
    <cellStyle name="c_Celtic DCF" xfId="710"/>
    <cellStyle name="c_Celtic DCF Inputs" xfId="711"/>
    <cellStyle name="c_Celtic DCF Inputs_Comparativo VP FIN v1_So 2008" xfId="6716"/>
    <cellStyle name="c_Celtic DCF Inputs_Comparativo VP MKT 2008 v1_So 2008" xfId="6717"/>
    <cellStyle name="c_Celtic DCF Inputs_Comparativo VP TEC 2008 v1_So 2008" xfId="6718"/>
    <cellStyle name="c_Celtic DCF Inputs_Comparativo VP TEC 2008_Luiz Sergio" xfId="6719"/>
    <cellStyle name="c_Celtic DCF Inputs_Cópia de Modelo - Fluxo de Caixa Orcamento 09052009_V36_3" xfId="712"/>
    <cellStyle name="c_Celtic DCF Inputs_Fluxo de Caixa Orcamento FINAL_13052009" xfId="713"/>
    <cellStyle name="c_Celtic DCF Inputs_FM_dummyV4" xfId="714"/>
    <cellStyle name="c_Celtic DCF Inputs_lalur" xfId="715"/>
    <cellStyle name="c_Celtic DCF Inputs_Leasing_V3" xfId="716"/>
    <cellStyle name="c_Celtic DCF Inputs_MODELO PDP III" xfId="717"/>
    <cellStyle name="c_Celtic DCF Inputs_ORÇ_2009" xfId="718"/>
    <cellStyle name="c_Celtic DCF Inputs_Pasta2" xfId="719"/>
    <cellStyle name="c_Celtic DCF_Comparativo VP FIN v1_So 2008" xfId="6720"/>
    <cellStyle name="c_Celtic DCF_Comparativo VP MKT 2008 v1_So 2008" xfId="6721"/>
    <cellStyle name="c_Celtic DCF_Comparativo VP TEC 2008 v1_So 2008" xfId="6722"/>
    <cellStyle name="c_Celtic DCF_Comparativo VP TEC 2008_Luiz Sergio" xfId="6723"/>
    <cellStyle name="c_Celtic DCF_Cópia de Modelo - Fluxo de Caixa Orcamento 09052009_V36_3" xfId="720"/>
    <cellStyle name="c_Celtic DCF_Fluxo de Caixa Orcamento FINAL_13052009" xfId="721"/>
    <cellStyle name="c_Celtic DCF_FM_dummyV4" xfId="722"/>
    <cellStyle name="c_Celtic DCF_lalur" xfId="723"/>
    <cellStyle name="c_Celtic DCF_Leasing_V3" xfId="724"/>
    <cellStyle name="c_Celtic DCF_MODELO PDP III" xfId="725"/>
    <cellStyle name="c_Celtic DCF_ORÇ_2009" xfId="726"/>
    <cellStyle name="c_Celtic DCF_Pasta2" xfId="727"/>
    <cellStyle name="c_Comparativo VP FIN v1_So 2008" xfId="6724"/>
    <cellStyle name="c_Comparativo VP MKT 2008 v1_So 2008" xfId="6725"/>
    <cellStyle name="c_Comparativo VP TEC 2008 v1_So 2008" xfId="6726"/>
    <cellStyle name="c_Comparativo VP TEC 2008_Luiz Sergio" xfId="6727"/>
    <cellStyle name="c_Controle - Dívidas_Orcamento" xfId="6728"/>
    <cellStyle name="c_Cópia de Modelo - Fluxo de Caixa Orcamento 09052009_V36_3" xfId="728"/>
    <cellStyle name="c_Credit (2)" xfId="729"/>
    <cellStyle name="c_Credit (2)_Comparativo VP FIN v1_So 2008" xfId="6729"/>
    <cellStyle name="c_Credit (2)_Comparativo VP MKT 2008 v1_So 2008" xfId="6730"/>
    <cellStyle name="c_Credit (2)_Comparativo VP TEC 2008 v1_So 2008" xfId="6731"/>
    <cellStyle name="c_Credit (2)_Comparativo VP TEC 2008_Luiz Sergio" xfId="6732"/>
    <cellStyle name="c_Credit (2)_Cópia de Modelo - Fluxo de Caixa Orcamento 09052009_V36_3" xfId="730"/>
    <cellStyle name="c_Credit (2)_Fluxo de Caixa Orcamento FINAL_13052009" xfId="731"/>
    <cellStyle name="c_Credit (2)_FM_dummyV4" xfId="732"/>
    <cellStyle name="c_Credit (2)_lalur" xfId="733"/>
    <cellStyle name="c_Credit (2)_Leasing_V3" xfId="734"/>
    <cellStyle name="c_Credit (2)_MODELO PDP III" xfId="735"/>
    <cellStyle name="c_Credit (2)_ORÇ_2009" xfId="736"/>
    <cellStyle name="c_Credit (2)_Pasta2" xfId="737"/>
    <cellStyle name="c_Credit Buildup (2)" xfId="738"/>
    <cellStyle name="c_Credit Buildup (2)_Comparativo VP FIN v1_So 2008" xfId="6733"/>
    <cellStyle name="c_Credit Buildup (2)_Comparativo VP MKT 2008 v1_So 2008" xfId="6734"/>
    <cellStyle name="c_Credit Buildup (2)_Comparativo VP TEC 2008 v1_So 2008" xfId="6735"/>
    <cellStyle name="c_Credit Buildup (2)_Comparativo VP TEC 2008_Luiz Sergio" xfId="6736"/>
    <cellStyle name="c_Credit Buildup (2)_Cópia de Modelo - Fluxo de Caixa Orcamento 09052009_V36_3" xfId="739"/>
    <cellStyle name="c_Credit Buildup (2)_Fluxo de Caixa Orcamento FINAL_13052009" xfId="740"/>
    <cellStyle name="c_Credit Buildup (2)_FM_dummyV4" xfId="741"/>
    <cellStyle name="c_Credit Buildup (2)_lalur" xfId="742"/>
    <cellStyle name="c_Credit Buildup (2)_Leasing_V3" xfId="743"/>
    <cellStyle name="c_Credit Buildup (2)_MODELO PDP III" xfId="744"/>
    <cellStyle name="c_Credit Buildup (2)_ORÇ_2009" xfId="745"/>
    <cellStyle name="c_Credit Buildup (2)_Pasta2" xfId="746"/>
    <cellStyle name="c_CredSens" xfId="747"/>
    <cellStyle name="c_CredSens_Comparativo VP FIN v1_So 2008" xfId="6737"/>
    <cellStyle name="c_CredSens_Comparativo VP MKT 2008 v1_So 2008" xfId="6738"/>
    <cellStyle name="c_CredSens_Comparativo VP TEC 2008 v1_So 2008" xfId="6739"/>
    <cellStyle name="c_CredSens_Comparativo VP TEC 2008_Luiz Sergio" xfId="6740"/>
    <cellStyle name="c_CredSens_Cópia de Modelo - Fluxo de Caixa Orcamento 09052009_V36_3" xfId="748"/>
    <cellStyle name="c_CredSens_Fluxo de Caixa Orcamento FINAL_13052009" xfId="749"/>
    <cellStyle name="c_CredSens_FM_dummyV4" xfId="750"/>
    <cellStyle name="c_CredSens_lalur" xfId="751"/>
    <cellStyle name="c_CredSens_Leasing_V3" xfId="752"/>
    <cellStyle name="c_CredSens_MODELO PDP III" xfId="753"/>
    <cellStyle name="c_CredSens_ORÇ_2009" xfId="754"/>
    <cellStyle name="c_CredSens_Pasta2" xfId="755"/>
    <cellStyle name="c_Daily Treasury Report- Fevereiro" xfId="756"/>
    <cellStyle name="c_Daily Treasury Report- Fevereiro_BNDES - Calculo novo" xfId="6741"/>
    <cellStyle name="c_Daily Treasury Report- Fevereiro_BNDES - NOVO" xfId="6742"/>
    <cellStyle name="c_Daily Treasury Report- Fevereiro_Controle Dívida LP" xfId="6743"/>
    <cellStyle name="c_Daily Treasury Report- Fevereiro_Controle Dívida LP - NOVO" xfId="6744"/>
    <cellStyle name="c_Daily Treasury Report- Fevereiro_Controle Empréstimos" xfId="6745"/>
    <cellStyle name="c_Daily Treasury Report- Fevereiro_Emprest CSFB OK" xfId="6746"/>
    <cellStyle name="c_Daily Treasury Report- Fevereiro_Novo Financiamento BNDES" xfId="6747"/>
    <cellStyle name="c_Daily Treasury Report- Fevereiro_Suporte DFs - V2.0" xfId="6748"/>
    <cellStyle name="c_Daily Treasury Report- Fevereiro_teste" xfId="6749"/>
    <cellStyle name="c_DCF Inputs (2)" xfId="757"/>
    <cellStyle name="c_DCF Inputs (2)_Comparativo VP FIN v1_So 2008" xfId="6750"/>
    <cellStyle name="c_DCF Inputs (2)_Comparativo VP MKT 2008 v1_So 2008" xfId="6751"/>
    <cellStyle name="c_DCF Inputs (2)_Comparativo VP TEC 2008 v1_So 2008" xfId="6752"/>
    <cellStyle name="c_DCF Inputs (2)_Comparativo VP TEC 2008_Luiz Sergio" xfId="6753"/>
    <cellStyle name="c_DCF Inputs (2)_Cópia de Modelo - Fluxo de Caixa Orcamento 09052009_V36_3" xfId="758"/>
    <cellStyle name="c_DCF Inputs (2)_Fluxo de Caixa Orcamento FINAL_13052009" xfId="759"/>
    <cellStyle name="c_DCF Inputs (2)_FM_dummyV4" xfId="760"/>
    <cellStyle name="c_DCF Inputs (2)_lalur" xfId="761"/>
    <cellStyle name="c_DCF Inputs (2)_Leasing_V3" xfId="762"/>
    <cellStyle name="c_DCF Inputs (2)_MODELO PDP III" xfId="763"/>
    <cellStyle name="c_DCF Inputs (2)_ORÇ_2009" xfId="764"/>
    <cellStyle name="c_DCF Inputs (2)_Pasta2" xfId="765"/>
    <cellStyle name="c_DCF Matrix (2)" xfId="766"/>
    <cellStyle name="c_DCF Matrix (2)_Comparativo VP FIN v1_So 2008" xfId="6754"/>
    <cellStyle name="c_DCF Matrix (2)_Comparativo VP MKT 2008 v1_So 2008" xfId="6755"/>
    <cellStyle name="c_DCF Matrix (2)_Comparativo VP TEC 2008 v1_So 2008" xfId="6756"/>
    <cellStyle name="c_DCF Matrix (2)_Comparativo VP TEC 2008_Luiz Sergio" xfId="6757"/>
    <cellStyle name="c_DCF Matrix (2)_Cópia de Modelo - Fluxo de Caixa Orcamento 09052009_V36_3" xfId="767"/>
    <cellStyle name="c_DCF Matrix (2)_Fluxo de Caixa Orcamento FINAL_13052009" xfId="768"/>
    <cellStyle name="c_DCF Matrix (2)_FM_dummyV4" xfId="769"/>
    <cellStyle name="c_DCF Matrix (2)_lalur" xfId="770"/>
    <cellStyle name="c_DCF Matrix (2)_Leasing_V3" xfId="771"/>
    <cellStyle name="c_DCF Matrix (2)_MODELO PDP III" xfId="772"/>
    <cellStyle name="c_DCF Matrix (2)_ORÇ_2009" xfId="773"/>
    <cellStyle name="c_DCF Matrix (2)_Pasta2" xfId="774"/>
    <cellStyle name="c_DCF output" xfId="775"/>
    <cellStyle name="c_DCF output_Comparativo VP FIN v1_So 2008" xfId="6758"/>
    <cellStyle name="c_DCF output_Comparativo VP MKT 2008 v1_So 2008" xfId="6759"/>
    <cellStyle name="c_DCF output_Comparativo VP TEC 2008 v1_So 2008" xfId="6760"/>
    <cellStyle name="c_DCF output_Comparativo VP TEC 2008_Luiz Sergio" xfId="6761"/>
    <cellStyle name="c_DCF output_Cópia de Modelo - Fluxo de Caixa Orcamento 09052009_V36_3" xfId="776"/>
    <cellStyle name="c_DCF output_Fluxo de Caixa Orcamento FINAL_13052009" xfId="777"/>
    <cellStyle name="c_DCF output_FM_dummyV4" xfId="778"/>
    <cellStyle name="c_DCF output_lalur" xfId="779"/>
    <cellStyle name="c_DCF output_Leasing_V3" xfId="780"/>
    <cellStyle name="c_DCF output_MODELO PDP III" xfId="781"/>
    <cellStyle name="c_DCF output_ORÇ_2009" xfId="782"/>
    <cellStyle name="c_DCF output_Pasta2" xfId="783"/>
    <cellStyle name="c_Deal" xfId="784"/>
    <cellStyle name="c_Deal_Comparativo VP FIN v1_So 2008" xfId="6762"/>
    <cellStyle name="c_Deal_Comparativo VP MKT 2008 v1_So 2008" xfId="6763"/>
    <cellStyle name="c_Deal_Comparativo VP TEC 2008 v1_So 2008" xfId="6764"/>
    <cellStyle name="c_Deal_Comparativo VP TEC 2008_Luiz Sergio" xfId="6765"/>
    <cellStyle name="c_Deal_Cópia de Modelo - Fluxo de Caixa Orcamento 09052009_V36_3" xfId="785"/>
    <cellStyle name="c_Deal_Fluxo de Caixa Orcamento FINAL_13052009" xfId="786"/>
    <cellStyle name="c_Deal_FM_dummyV4" xfId="787"/>
    <cellStyle name="c_Deal_lalur" xfId="788"/>
    <cellStyle name="c_Deal_Leasing_V3" xfId="789"/>
    <cellStyle name="c_Deal_MODELO PDP III" xfId="790"/>
    <cellStyle name="c_Deal_ORÇ_2009" xfId="791"/>
    <cellStyle name="c_Deal_Pasta2" xfId="792"/>
    <cellStyle name="c_Dental (2)" xfId="793"/>
    <cellStyle name="c_Dental (2)_Comparativo VP FIN v1_So 2008" xfId="6766"/>
    <cellStyle name="c_Dental (2)_Comparativo VP MKT 2008 v1_So 2008" xfId="6767"/>
    <cellStyle name="c_Dental (2)_Comparativo VP TEC 2008 v1_So 2008" xfId="6768"/>
    <cellStyle name="c_Dental (2)_Comparativo VP TEC 2008_Luiz Sergio" xfId="6769"/>
    <cellStyle name="c_Dental (2)_Cópia de Modelo - Fluxo de Caixa Orcamento 09052009_V36_3" xfId="794"/>
    <cellStyle name="c_Dental (2)_Fluxo de Caixa Orcamento FINAL_13052009" xfId="795"/>
    <cellStyle name="c_Dental (2)_FM_dummyV4" xfId="796"/>
    <cellStyle name="c_Dental (2)_lalur" xfId="797"/>
    <cellStyle name="c_Dental (2)_Leasing_V3" xfId="798"/>
    <cellStyle name="c_Dental (2)_MODELO PDP III" xfId="799"/>
    <cellStyle name="c_Dental (2)_ORÇ_2009" xfId="800"/>
    <cellStyle name="c_Dental (2)_Pasta2" xfId="801"/>
    <cellStyle name="c_Earnings" xfId="802"/>
    <cellStyle name="c_Earnings (2)" xfId="803"/>
    <cellStyle name="c_Earnings (2)_Comparativo VP FIN v1_So 2008" xfId="6770"/>
    <cellStyle name="c_Earnings (2)_Comparativo VP MKT 2008 v1_So 2008" xfId="6771"/>
    <cellStyle name="c_Earnings (2)_Comparativo VP TEC 2008 v1_So 2008" xfId="6772"/>
    <cellStyle name="c_Earnings (2)_Comparativo VP TEC 2008_Luiz Sergio" xfId="6773"/>
    <cellStyle name="c_Earnings (2)_Cópia de Modelo - Fluxo de Caixa Orcamento 09052009_V36_3" xfId="804"/>
    <cellStyle name="c_Earnings (2)_Fluxo de Caixa Orcamento FINAL_13052009" xfId="805"/>
    <cellStyle name="c_Earnings (2)_FM_dummyV4" xfId="806"/>
    <cellStyle name="c_Earnings (2)_lalur" xfId="807"/>
    <cellStyle name="c_Earnings (2)_Leasing_V3" xfId="808"/>
    <cellStyle name="c_Earnings (2)_MODELO PDP III" xfId="809"/>
    <cellStyle name="c_Earnings (2)_ORÇ_2009" xfId="810"/>
    <cellStyle name="c_Earnings (2)_Pasta2" xfId="811"/>
    <cellStyle name="c_Earnings_Comparativo VP FIN v1_So 2008" xfId="6774"/>
    <cellStyle name="c_Earnings_Comparativo VP MKT 2008 v1_So 2008" xfId="6775"/>
    <cellStyle name="c_Earnings_Comparativo VP TEC 2008 v1_So 2008" xfId="6776"/>
    <cellStyle name="c_Earnings_Comparativo VP TEC 2008_Luiz Sergio" xfId="6777"/>
    <cellStyle name="c_Earnings_Cópia de Modelo - Fluxo de Caixa Orcamento 09052009_V36_3" xfId="812"/>
    <cellStyle name="c_Earnings_Fluxo de Caixa Orcamento FINAL_13052009" xfId="813"/>
    <cellStyle name="c_Earnings_FM_dummyV4" xfId="814"/>
    <cellStyle name="c_Earnings_lalur" xfId="815"/>
    <cellStyle name="c_Earnings_Leasing_V3" xfId="816"/>
    <cellStyle name="c_Earnings_MODELO PDP III" xfId="817"/>
    <cellStyle name="c_Earnings_ORÇ_2009" xfId="818"/>
    <cellStyle name="c_Earnings_Pasta2" xfId="819"/>
    <cellStyle name="c_East Coast (2)" xfId="820"/>
    <cellStyle name="c_East Coast (2)_Comparativo VP FIN v1_So 2008" xfId="6778"/>
    <cellStyle name="c_East Coast (2)_Comparativo VP MKT 2008 v1_So 2008" xfId="6779"/>
    <cellStyle name="c_East Coast (2)_Comparativo VP TEC 2008 v1_So 2008" xfId="6780"/>
    <cellStyle name="c_East Coast (2)_Comparativo VP TEC 2008_Luiz Sergio" xfId="6781"/>
    <cellStyle name="c_East Coast (2)_Cópia de Modelo - Fluxo de Caixa Orcamento 09052009_V36_3" xfId="821"/>
    <cellStyle name="c_East Coast (2)_Fluxo de Caixa Orcamento FINAL_13052009" xfId="822"/>
    <cellStyle name="c_East Coast (2)_FM_dummyV4" xfId="823"/>
    <cellStyle name="c_East Coast (2)_lalur" xfId="824"/>
    <cellStyle name="c_East Coast (2)_Leasing_V3" xfId="825"/>
    <cellStyle name="c_East Coast (2)_MODELO PDP III" xfId="826"/>
    <cellStyle name="c_East Coast (2)_ORÇ_2009" xfId="827"/>
    <cellStyle name="c_East Coast (2)_Pasta2" xfId="828"/>
    <cellStyle name="c_Florida (2)" xfId="829"/>
    <cellStyle name="c_Florida (2)_Comparativo VP FIN v1_So 2008" xfId="6782"/>
    <cellStyle name="c_Florida (2)_Comparativo VP MKT 2008 v1_So 2008" xfId="6783"/>
    <cellStyle name="c_Florida (2)_Comparativo VP TEC 2008 v1_So 2008" xfId="6784"/>
    <cellStyle name="c_Florida (2)_Comparativo VP TEC 2008_Luiz Sergio" xfId="6785"/>
    <cellStyle name="c_Florida (2)_Cópia de Modelo - Fluxo de Caixa Orcamento 09052009_V36_3" xfId="830"/>
    <cellStyle name="c_Florida (2)_Fluxo de Caixa Orcamento FINAL_13052009" xfId="831"/>
    <cellStyle name="c_Florida (2)_FM_dummyV4" xfId="832"/>
    <cellStyle name="c_Florida (2)_lalur" xfId="833"/>
    <cellStyle name="c_Florida (2)_Leasing_V3" xfId="834"/>
    <cellStyle name="c_Florida (2)_MODELO PDP III" xfId="835"/>
    <cellStyle name="c_Florida (2)_ORÇ_2009" xfId="836"/>
    <cellStyle name="c_Florida (2)_Pasta2" xfId="837"/>
    <cellStyle name="c_Fluxo de Caixa Orcamento FINAL_13052009" xfId="838"/>
    <cellStyle name="c_FM_dummyV4" xfId="839"/>
    <cellStyle name="c_Georgia (2)" xfId="840"/>
    <cellStyle name="c_Georgia (2)_Comparativo VP FIN v1_So 2008" xfId="6786"/>
    <cellStyle name="c_Georgia (2)_Comparativo VP MKT 2008 v1_So 2008" xfId="6787"/>
    <cellStyle name="c_Georgia (2)_Comparativo VP TEC 2008 v1_So 2008" xfId="6788"/>
    <cellStyle name="c_Georgia (2)_Comparativo VP TEC 2008_Luiz Sergio" xfId="6789"/>
    <cellStyle name="c_Georgia (2)_Cópia de Modelo - Fluxo de Caixa Orcamento 09052009_V36_3" xfId="841"/>
    <cellStyle name="c_Georgia (2)_Fluxo de Caixa Orcamento FINAL_13052009" xfId="842"/>
    <cellStyle name="c_Georgia (2)_FM_dummyV4" xfId="843"/>
    <cellStyle name="c_Georgia (2)_lalur" xfId="844"/>
    <cellStyle name="c_Georgia (2)_Leasing_V3" xfId="845"/>
    <cellStyle name="c_Georgia (2)_MODELO PDP III" xfId="846"/>
    <cellStyle name="c_Georgia (2)_ORÇ_2009" xfId="847"/>
    <cellStyle name="c_Georgia (2)_Pasta2" xfId="848"/>
    <cellStyle name="c_Hard Rock" xfId="849"/>
    <cellStyle name="c_Hard Rock (2)" xfId="850"/>
    <cellStyle name="c_Hard Rock (2)_Comparativo VP FIN v1_So 2008" xfId="6790"/>
    <cellStyle name="c_Hard Rock (2)_Comparativo VP MKT 2008 v1_So 2008" xfId="6791"/>
    <cellStyle name="c_Hard Rock (2)_Comparativo VP TEC 2008 v1_So 2008" xfId="6792"/>
    <cellStyle name="c_Hard Rock (2)_Comparativo VP TEC 2008_Luiz Sergio" xfId="6793"/>
    <cellStyle name="c_Hard Rock (2)_Cópia de Modelo - Fluxo de Caixa Orcamento 09052009_V36_3" xfId="851"/>
    <cellStyle name="c_Hard Rock (2)_Fluxo de Caixa Orcamento FINAL_13052009" xfId="852"/>
    <cellStyle name="c_Hard Rock (2)_FM_dummyV4" xfId="853"/>
    <cellStyle name="c_Hard Rock (2)_lalur" xfId="854"/>
    <cellStyle name="c_Hard Rock (2)_Leasing_V3" xfId="855"/>
    <cellStyle name="c_Hard Rock (2)_MODELO PDP III" xfId="856"/>
    <cellStyle name="c_Hard Rock (2)_ORÇ_2009" xfId="857"/>
    <cellStyle name="c_Hard Rock (2)_Pasta2" xfId="858"/>
    <cellStyle name="c_Hard Rock_Comparativo VP FIN v1_So 2008" xfId="6794"/>
    <cellStyle name="c_Hard Rock_Comparativo VP MKT 2008 v1_So 2008" xfId="6795"/>
    <cellStyle name="c_Hard Rock_Comparativo VP TEC 2008 v1_So 2008" xfId="6796"/>
    <cellStyle name="c_Hard Rock_Comparativo VP TEC 2008_Luiz Sergio" xfId="6797"/>
    <cellStyle name="c_Hard Rock_Cópia de Modelo - Fluxo de Caixa Orcamento 09052009_V36_3" xfId="859"/>
    <cellStyle name="c_Hard Rock_Fluxo de Caixa Orcamento FINAL_13052009" xfId="860"/>
    <cellStyle name="c_Hard Rock_FM_dummyV4" xfId="861"/>
    <cellStyle name="c_Hard Rock_lalur" xfId="862"/>
    <cellStyle name="c_Hard Rock_Leasing_V3" xfId="863"/>
    <cellStyle name="c_Hard Rock_MODELO PDP III" xfId="864"/>
    <cellStyle name="c_Hard Rock_ORÇ_2009" xfId="865"/>
    <cellStyle name="c_Hard Rock_Pasta2" xfId="866"/>
    <cellStyle name="c_HardInc " xfId="867"/>
    <cellStyle name="c_HardInc  (2)" xfId="868"/>
    <cellStyle name="c_HardInc  (2)_Comparativo VP FIN v1_So 2008" xfId="6798"/>
    <cellStyle name="c_HardInc  (2)_Comparativo VP MKT 2008 v1_So 2008" xfId="6799"/>
    <cellStyle name="c_HardInc  (2)_Comparativo VP TEC 2008 v1_So 2008" xfId="6800"/>
    <cellStyle name="c_HardInc  (2)_Comparativo VP TEC 2008_Luiz Sergio" xfId="6801"/>
    <cellStyle name="c_HardInc  (2)_Cópia de Modelo - Fluxo de Caixa Orcamento 09052009_V36_3" xfId="869"/>
    <cellStyle name="c_HardInc  (2)_Fluxo de Caixa Orcamento FINAL_13052009" xfId="870"/>
    <cellStyle name="c_HardInc  (2)_FM_dummyV4" xfId="871"/>
    <cellStyle name="c_HardInc  (2)_lalur" xfId="872"/>
    <cellStyle name="c_HardInc  (2)_Leasing_V3" xfId="873"/>
    <cellStyle name="c_HardInc  (2)_MODELO PDP III" xfId="874"/>
    <cellStyle name="c_HardInc  (2)_ORÇ_2009" xfId="875"/>
    <cellStyle name="c_HardInc  (2)_Pasta2" xfId="876"/>
    <cellStyle name="c_HardInc _Comparativo VP FIN v1_So 2008" xfId="6802"/>
    <cellStyle name="c_HardInc _Comparativo VP MKT 2008 v1_So 2008" xfId="6803"/>
    <cellStyle name="c_HardInc _Comparativo VP TEC 2008 v1_So 2008" xfId="6804"/>
    <cellStyle name="c_HardInc _Comparativo VP TEC 2008_Luiz Sergio" xfId="6805"/>
    <cellStyle name="c_HardInc _Cópia de Modelo - Fluxo de Caixa Orcamento 09052009_V36_3" xfId="877"/>
    <cellStyle name="c_HardInc _Fluxo de Caixa Orcamento FINAL_13052009" xfId="878"/>
    <cellStyle name="c_HardInc _FM_dummyV4" xfId="879"/>
    <cellStyle name="c_HardInc _lalur" xfId="880"/>
    <cellStyle name="c_HardInc _Leasing_V3" xfId="881"/>
    <cellStyle name="c_HardInc _MODELO PDP III" xfId="882"/>
    <cellStyle name="c_HardInc _ORÇ_2009" xfId="883"/>
    <cellStyle name="c_HardInc _Pasta2" xfId="884"/>
    <cellStyle name="c_Has-Gets (2)" xfId="885"/>
    <cellStyle name="c_Has-Gets (2)_Comparativo VP FIN v1_So 2008" xfId="6806"/>
    <cellStyle name="c_Has-Gets (2)_Comparativo VP MKT 2008 v1_So 2008" xfId="6807"/>
    <cellStyle name="c_Has-Gets (2)_Comparativo VP TEC 2008 v1_So 2008" xfId="6808"/>
    <cellStyle name="c_Has-Gets (2)_Comparativo VP TEC 2008_Luiz Sergio" xfId="6809"/>
    <cellStyle name="c_Has-Gets (2)_Cópia de Modelo - Fluxo de Caixa Orcamento 09052009_V36_3" xfId="886"/>
    <cellStyle name="c_Has-Gets (2)_Fluxo de Caixa Orcamento FINAL_13052009" xfId="887"/>
    <cellStyle name="c_Has-Gets (2)_FM_dummyV4" xfId="888"/>
    <cellStyle name="c_Has-Gets (2)_lalur" xfId="889"/>
    <cellStyle name="c_Has-Gets (2)_Leasing_V3" xfId="890"/>
    <cellStyle name="c_Has-Gets (2)_MODELO PDP III" xfId="891"/>
    <cellStyle name="c_Has-Gets (2)_ORÇ_2009" xfId="892"/>
    <cellStyle name="c_Has-Gets (2)_Pasta2" xfId="893"/>
    <cellStyle name="c_Hist Inputs (2)" xfId="894"/>
    <cellStyle name="c_Hist Inputs (2)_Comparativo VP FIN v1_So 2008" xfId="6810"/>
    <cellStyle name="c_Hist Inputs (2)_Comparativo VP MKT 2008 v1_So 2008" xfId="6811"/>
    <cellStyle name="c_Hist Inputs (2)_Comparativo VP TEC 2008 v1_So 2008" xfId="6812"/>
    <cellStyle name="c_Hist Inputs (2)_Comparativo VP TEC 2008_Luiz Sergio" xfId="6813"/>
    <cellStyle name="c_Hist Inputs (2)_Cópia de Modelo - Fluxo de Caixa Orcamento 09052009_V36_3" xfId="895"/>
    <cellStyle name="c_Hist Inputs (2)_Fluxo de Caixa Orcamento FINAL_13052009" xfId="896"/>
    <cellStyle name="c_Hist Inputs (2)_FM_dummyV4" xfId="897"/>
    <cellStyle name="c_Hist Inputs (2)_lalur" xfId="898"/>
    <cellStyle name="c_Hist Inputs (2)_Leasing_V3" xfId="899"/>
    <cellStyle name="c_Hist Inputs (2)_MODELO PDP III" xfId="900"/>
    <cellStyle name="c_Hist Inputs (2)_ORÇ_2009" xfId="901"/>
    <cellStyle name="c_Hist Inputs (2)_Pasta2" xfId="902"/>
    <cellStyle name="c_IRR Sensitivity (2)" xfId="903"/>
    <cellStyle name="c_IRR Sensitivity (2)_Comparativo VP FIN v1_So 2008" xfId="6814"/>
    <cellStyle name="c_IRR Sensitivity (2)_Comparativo VP MKT 2008 v1_So 2008" xfId="6815"/>
    <cellStyle name="c_IRR Sensitivity (2)_Comparativo VP TEC 2008 v1_So 2008" xfId="6816"/>
    <cellStyle name="c_IRR Sensitivity (2)_Comparativo VP TEC 2008_Luiz Sergio" xfId="6817"/>
    <cellStyle name="c_IRR Sensitivity (2)_Cópia de Modelo - Fluxo de Caixa Orcamento 09052009_V36_3" xfId="904"/>
    <cellStyle name="c_IRR Sensitivity (2)_Fluxo de Caixa Orcamento FINAL_13052009" xfId="905"/>
    <cellStyle name="c_IRR Sensitivity (2)_FM_dummyV4" xfId="906"/>
    <cellStyle name="c_IRR Sensitivity (2)_lalur" xfId="907"/>
    <cellStyle name="c_IRR Sensitivity (2)_Leasing_V3" xfId="908"/>
    <cellStyle name="c_IRR Sensitivity (2)_MODELO PDP III" xfId="909"/>
    <cellStyle name="c_IRR Sensitivity (2)_ORÇ_2009" xfId="910"/>
    <cellStyle name="c_IRR Sensitivity (2)_Pasta2" xfId="911"/>
    <cellStyle name="c_lalur" xfId="912"/>
    <cellStyle name="c_LBO Summary" xfId="913"/>
    <cellStyle name="c_LBO Summary_Comparativo VP FIN v1_So 2008" xfId="6818"/>
    <cellStyle name="c_LBO Summary_Comparativo VP MKT 2008 v1_So 2008" xfId="6819"/>
    <cellStyle name="c_LBO Summary_Comparativo VP TEC 2008 v1_So 2008" xfId="6820"/>
    <cellStyle name="c_LBO Summary_Comparativo VP TEC 2008_Luiz Sergio" xfId="6821"/>
    <cellStyle name="c_LBO Summary_Cópia de Modelo - Fluxo de Caixa Orcamento 09052009_V36_3" xfId="914"/>
    <cellStyle name="c_LBO Summary_Fluxo de Caixa Orcamento FINAL_13052009" xfId="915"/>
    <cellStyle name="c_LBO Summary_FM_dummyV4" xfId="916"/>
    <cellStyle name="c_LBO Summary_lalur" xfId="917"/>
    <cellStyle name="c_LBO Summary_Leasing_V3" xfId="918"/>
    <cellStyle name="c_LBO Summary_MODELO PDP III" xfId="919"/>
    <cellStyle name="c_LBO Summary_ORÇ_2009" xfId="920"/>
    <cellStyle name="c_LBO Summary_Pasta2" xfId="921"/>
    <cellStyle name="c_Leasing_V3" xfId="922"/>
    <cellStyle name="c_Limites x Garantias" xfId="923"/>
    <cellStyle name="c_Limites x Garantias_Cópia de Modelo - Fluxo de Caixa Orcamento 09052009_V36_3" xfId="924"/>
    <cellStyle name="c_Limites x Garantias_Fluxo de Caixa Orcamento FINAL_13052009" xfId="925"/>
    <cellStyle name="c_Limites x Garantias_Liquidez" xfId="926"/>
    <cellStyle name="c_Limites x Garantias_Liquidez_Cópia de Modelo - Fluxo de Caixa Orcamento 09052009_V36_3" xfId="927"/>
    <cellStyle name="c_Limites x Garantias_Liquidez_Fluxo de Caixa Orcamento FINAL_13052009" xfId="928"/>
    <cellStyle name="c_Limites x Garantias_Liquidez_Pasta2" xfId="929"/>
    <cellStyle name="c_Limites x Garantias_Pasta2" xfId="930"/>
    <cellStyle name="c_Limites x Garantias_Statement Sky - Finance" xfId="931"/>
    <cellStyle name="c_Macros" xfId="932"/>
    <cellStyle name="c_Macros_Comparativo VP FIN v1_So 2008" xfId="6822"/>
    <cellStyle name="c_Macros_Comparativo VP MKT 2008 v1_So 2008" xfId="6823"/>
    <cellStyle name="c_Macros_Comparativo VP TEC 2008 v1_So 2008" xfId="6824"/>
    <cellStyle name="c_Macros_Comparativo VP TEC 2008_Luiz Sergio" xfId="6825"/>
    <cellStyle name="c_Macros_Cópia de Modelo - Fluxo de Caixa Orcamento 09052009_V36_3" xfId="933"/>
    <cellStyle name="c_Macros_Fluxo de Caixa Orcamento FINAL_13052009" xfId="934"/>
    <cellStyle name="c_Macros_FM_dummyV4" xfId="935"/>
    <cellStyle name="c_Macros_lalur" xfId="936"/>
    <cellStyle name="c_Macros_Leasing_V3" xfId="937"/>
    <cellStyle name="c_Macros_MODELO PDP III" xfId="938"/>
    <cellStyle name="c_Macros_ORÇ_2009" xfId="939"/>
    <cellStyle name="c_Macros_Pasta2" xfId="940"/>
    <cellStyle name="c_Mango Merger" xfId="941"/>
    <cellStyle name="c_Mango Merger 3" xfId="942"/>
    <cellStyle name="c_Mango Merger 3_Comparativo VP FIN v1_So 2008" xfId="6826"/>
    <cellStyle name="c_Mango Merger 3_Comparativo VP MKT 2008 v1_So 2008" xfId="6827"/>
    <cellStyle name="c_Mango Merger 3_Comparativo VP TEC 2008 v1_So 2008" xfId="6828"/>
    <cellStyle name="c_Mango Merger 3_Comparativo VP TEC 2008_Luiz Sergio" xfId="6829"/>
    <cellStyle name="c_Mango Merger 3_Cópia de Modelo - Fluxo de Caixa Orcamento 09052009_V36_3" xfId="943"/>
    <cellStyle name="c_Mango Merger 3_Fluxo de Caixa Orcamento FINAL_13052009" xfId="944"/>
    <cellStyle name="c_Mango Merger 3_FM_dummyV4" xfId="945"/>
    <cellStyle name="c_Mango Merger 3_lalur" xfId="946"/>
    <cellStyle name="c_Mango Merger 3_Leasing_V3" xfId="947"/>
    <cellStyle name="c_Mango Merger 3_MODELO PDP III" xfId="948"/>
    <cellStyle name="c_Mango Merger 3_ORÇ_2009" xfId="949"/>
    <cellStyle name="c_Mango Merger 3_Pasta2" xfId="950"/>
    <cellStyle name="c_Mango Merger_Comparativo VP FIN v1_So 2008" xfId="6830"/>
    <cellStyle name="c_Mango Merger_Comparativo VP MKT 2008 v1_So 2008" xfId="6831"/>
    <cellStyle name="c_Mango Merger_Comparativo VP TEC 2008 v1_So 2008" xfId="6832"/>
    <cellStyle name="c_Mango Merger_Comparativo VP TEC 2008_Luiz Sergio" xfId="6833"/>
    <cellStyle name="c_Mango Merger_Cópia de Modelo - Fluxo de Caixa Orcamento 09052009_V36_3" xfId="951"/>
    <cellStyle name="c_Mango Merger_Fluxo de Caixa Orcamento FINAL_13052009" xfId="952"/>
    <cellStyle name="c_Mango Merger_FM_dummyV4" xfId="953"/>
    <cellStyle name="c_Mango Merger_lalur" xfId="954"/>
    <cellStyle name="c_Mango Merger_Leasing_V3" xfId="955"/>
    <cellStyle name="c_Mango Merger_MODELO PDP III" xfId="956"/>
    <cellStyle name="c_Mango Merger_ORÇ_2009" xfId="957"/>
    <cellStyle name="c_Mango Merger_Pasta2" xfId="958"/>
    <cellStyle name="c_Model Assumptions (2)" xfId="959"/>
    <cellStyle name="c_Model Assumptions (2)_Comparativo VP FIN v1_So 2008" xfId="6834"/>
    <cellStyle name="c_Model Assumptions (2)_Comparativo VP MKT 2008 v1_So 2008" xfId="6835"/>
    <cellStyle name="c_Model Assumptions (2)_Comparativo VP TEC 2008 v1_So 2008" xfId="6836"/>
    <cellStyle name="c_Model Assumptions (2)_Comparativo VP TEC 2008_Luiz Sergio" xfId="6837"/>
    <cellStyle name="c_Model Assumptions (2)_Cópia de Modelo - Fluxo de Caixa Orcamento 09052009_V36_3" xfId="960"/>
    <cellStyle name="c_Model Assumptions (2)_Fluxo de Caixa Orcamento FINAL_13052009" xfId="961"/>
    <cellStyle name="c_Model Assumptions (2)_FM_dummyV4" xfId="962"/>
    <cellStyle name="c_Model Assumptions (2)_lalur" xfId="963"/>
    <cellStyle name="c_Model Assumptions (2)_Leasing_V3" xfId="964"/>
    <cellStyle name="c_Model Assumptions (2)_MODELO PDP III" xfId="965"/>
    <cellStyle name="c_Model Assumptions (2)_ORÇ_2009" xfId="966"/>
    <cellStyle name="c_Model Assumptions (2)_Pasta2" xfId="967"/>
    <cellStyle name="c_Model_19" xfId="968"/>
    <cellStyle name="c_Model_19_Comparativo VP FIN v1_So 2008" xfId="6838"/>
    <cellStyle name="c_Model_19_Comparativo VP MKT 2008 v1_So 2008" xfId="6839"/>
    <cellStyle name="c_Model_19_Comparativo VP TEC 2008 v1_So 2008" xfId="6840"/>
    <cellStyle name="c_Model_19_Comparativo VP TEC 2008_Luiz Sergio" xfId="6841"/>
    <cellStyle name="c_Model_19_Cópia de Modelo - Fluxo de Caixa Orcamento 09052009_V36_3" xfId="969"/>
    <cellStyle name="c_Model_19_Fluxo de Caixa Orcamento FINAL_13052009" xfId="970"/>
    <cellStyle name="c_Model_19_FM_dummyV4" xfId="971"/>
    <cellStyle name="c_Model_19_lalur" xfId="972"/>
    <cellStyle name="c_Model_19_Leasing_V3" xfId="973"/>
    <cellStyle name="c_Model_19_MODELO PDP III" xfId="974"/>
    <cellStyle name="c_Model_19_ORÇ_2009" xfId="975"/>
    <cellStyle name="c_Model_19_Pasta2" xfId="976"/>
    <cellStyle name="c_Model_19_Q2 pipeline" xfId="977"/>
    <cellStyle name="c_Model_19_Q2 pipeline 2" xfId="6842"/>
    <cellStyle name="c_Model_19_Q2 pipeline_Cópia de Modelo - Fluxo de Caixa Orcamento 09052009_V36_3" xfId="978"/>
    <cellStyle name="c_Model_19_Q2 pipeline_Cópia de Modelo - Fluxo de Caixa Orcamento 09052009_V36_3 2" xfId="6843"/>
    <cellStyle name="c_Model_19_Q2 pipeline_Fluxo de Caixa Orcamento FINAL_13052009" xfId="979"/>
    <cellStyle name="c_Model_19_Q2 pipeline_Fluxo de Caixa Orcamento FINAL_13052009 2" xfId="6844"/>
    <cellStyle name="c_Model_19_Q2 pipeline_FM_dummyV4" xfId="980"/>
    <cellStyle name="c_Model_19_Q2 pipeline_lalur" xfId="981"/>
    <cellStyle name="c_Model_19_Q2 pipeline_Leasing_V3" xfId="982"/>
    <cellStyle name="c_Model_19_Q2 pipeline_MODELO PDP III" xfId="983"/>
    <cellStyle name="c_Model_19_Q2 pipeline_ORÇ_2009" xfId="984"/>
    <cellStyle name="c_Model_19_Q2 pipeline_ORÇ_2009 2" xfId="6845"/>
    <cellStyle name="c_Model_19_Q2 pipeline_Pasta2" xfId="985"/>
    <cellStyle name="c_Model_19_Q2 pipeline_Pasta2 2" xfId="6846"/>
    <cellStyle name="c_MODELO PDP III" xfId="986"/>
    <cellStyle name="c_OBGYN (2)" xfId="987"/>
    <cellStyle name="c_OBGYN (2)_Comparativo VP FIN v1_So 2008" xfId="6847"/>
    <cellStyle name="c_OBGYN (2)_Comparativo VP MKT 2008 v1_So 2008" xfId="6848"/>
    <cellStyle name="c_OBGYN (2)_Comparativo VP TEC 2008 v1_So 2008" xfId="6849"/>
    <cellStyle name="c_OBGYN (2)_Comparativo VP TEC 2008_Luiz Sergio" xfId="6850"/>
    <cellStyle name="c_OBGYN (2)_Cópia de Modelo - Fluxo de Caixa Orcamento 09052009_V36_3" xfId="988"/>
    <cellStyle name="c_OBGYN (2)_Fluxo de Caixa Orcamento FINAL_13052009" xfId="989"/>
    <cellStyle name="c_OBGYN (2)_FM_dummyV4" xfId="990"/>
    <cellStyle name="c_OBGYN (2)_lalur" xfId="991"/>
    <cellStyle name="c_OBGYN (2)_Leasing_V3" xfId="992"/>
    <cellStyle name="c_OBGYN (2)_MODELO PDP III" xfId="993"/>
    <cellStyle name="c_OBGYN (2)_ORÇ_2009" xfId="994"/>
    <cellStyle name="c_OBGYN (2)_Pasta2" xfId="995"/>
    <cellStyle name="c_ORÇ_2009" xfId="996"/>
    <cellStyle name="c_Other Businesses (2)" xfId="997"/>
    <cellStyle name="c_Other Businesses (2)_Comparativo VP FIN v1_So 2008" xfId="6851"/>
    <cellStyle name="c_Other Businesses (2)_Comparativo VP MKT 2008 v1_So 2008" xfId="6852"/>
    <cellStyle name="c_Other Businesses (2)_Comparativo VP TEC 2008 v1_So 2008" xfId="6853"/>
    <cellStyle name="c_Other Businesses (2)_Comparativo VP TEC 2008_Luiz Sergio" xfId="6854"/>
    <cellStyle name="c_Other Businesses (2)_Cópia de Modelo - Fluxo de Caixa Orcamento 09052009_V36_3" xfId="998"/>
    <cellStyle name="c_Other Businesses (2)_Fluxo de Caixa Orcamento FINAL_13052009" xfId="999"/>
    <cellStyle name="c_Other Businesses (2)_FM_dummyV4" xfId="1000"/>
    <cellStyle name="c_Other Businesses (2)_lalur" xfId="1001"/>
    <cellStyle name="c_Other Businesses (2)_Leasing_V3" xfId="1002"/>
    <cellStyle name="c_Other Businesses (2)_MODELO PDP III" xfId="1003"/>
    <cellStyle name="c_Other Businesses (2)_ORÇ_2009" xfId="1004"/>
    <cellStyle name="c_Other Businesses (2)_Pasta2" xfId="1005"/>
    <cellStyle name="c_Ownership" xfId="1006"/>
    <cellStyle name="c_Ownership_Comparativo VP FIN v1_So 2008" xfId="6855"/>
    <cellStyle name="c_Ownership_Comparativo VP MKT 2008 v1_So 2008" xfId="6856"/>
    <cellStyle name="c_Ownership_Comparativo VP TEC 2008 v1_So 2008" xfId="6857"/>
    <cellStyle name="c_Ownership_Comparativo VP TEC 2008_Luiz Sergio" xfId="6858"/>
    <cellStyle name="c_Ownership_Cópia de Modelo - Fluxo de Caixa Orcamento 09052009_V36_3" xfId="1007"/>
    <cellStyle name="c_Ownership_Fluxo de Caixa Orcamento FINAL_13052009" xfId="1008"/>
    <cellStyle name="c_Ownership_FM_dummyV4" xfId="1009"/>
    <cellStyle name="c_Ownership_lalur" xfId="1010"/>
    <cellStyle name="c_Ownership_Leasing_V3" xfId="1011"/>
    <cellStyle name="c_Ownership_MODELO PDP III" xfId="1012"/>
    <cellStyle name="c_Ownership_ORÇ_2009" xfId="1013"/>
    <cellStyle name="c_Ownership_Pasta2" xfId="1014"/>
    <cellStyle name="c_Pasta2" xfId="1015"/>
    <cellStyle name="c_pearl_wacc" xfId="1016"/>
    <cellStyle name="c_pearl_wacc_Comparativo VP FIN v1_So 2008" xfId="6859"/>
    <cellStyle name="c_pearl_wacc_Comparativo VP MKT 2008 v1_So 2008" xfId="6860"/>
    <cellStyle name="c_pearl_wacc_Comparativo VP TEC 2008 v1_So 2008" xfId="6861"/>
    <cellStyle name="c_pearl_wacc_Comparativo VP TEC 2008_Luiz Sergio" xfId="6862"/>
    <cellStyle name="c_pearl_wacc_Cópia de Modelo - Fluxo de Caixa Orcamento 09052009_V36_3" xfId="1017"/>
    <cellStyle name="c_pearl_wacc_Fluxo de Caixa Orcamento FINAL_13052009" xfId="1018"/>
    <cellStyle name="c_pearl_wacc_FM_dummyV4" xfId="1019"/>
    <cellStyle name="c_pearl_wacc_lalur" xfId="1020"/>
    <cellStyle name="c_pearl_wacc_Leasing_V3" xfId="1021"/>
    <cellStyle name="c_pearl_wacc_MODELO PDP III" xfId="1022"/>
    <cellStyle name="c_pearl_wacc_ORÇ_2009" xfId="1023"/>
    <cellStyle name="c_pearl_wacc_Pasta2" xfId="1024"/>
    <cellStyle name="c_pearl_wacc_Q2 pipeline" xfId="1025"/>
    <cellStyle name="c_pearl_wacc_Q2 pipeline 2" xfId="6863"/>
    <cellStyle name="c_pearl_wacc_Q2 pipeline_Cópia de Modelo - Fluxo de Caixa Orcamento 09052009_V36_3" xfId="1026"/>
    <cellStyle name="c_pearl_wacc_Q2 pipeline_Cópia de Modelo - Fluxo de Caixa Orcamento 09052009_V36_3 2" xfId="6864"/>
    <cellStyle name="c_pearl_wacc_Q2 pipeline_Fluxo de Caixa Orcamento FINAL_13052009" xfId="1027"/>
    <cellStyle name="c_pearl_wacc_Q2 pipeline_Fluxo de Caixa Orcamento FINAL_13052009 2" xfId="6865"/>
    <cellStyle name="c_pearl_wacc_Q2 pipeline_FM_dummyV4" xfId="1028"/>
    <cellStyle name="c_pearl_wacc_Q2 pipeline_lalur" xfId="1029"/>
    <cellStyle name="c_pearl_wacc_Q2 pipeline_Leasing_V3" xfId="1030"/>
    <cellStyle name="c_pearl_wacc_Q2 pipeline_MODELO PDP III" xfId="1031"/>
    <cellStyle name="c_pearl_wacc_Q2 pipeline_ORÇ_2009" xfId="1032"/>
    <cellStyle name="c_pearl_wacc_Q2 pipeline_ORÇ_2009 2" xfId="6866"/>
    <cellStyle name="c_pearl_wacc_Q2 pipeline_Pasta2" xfId="1033"/>
    <cellStyle name="c_pearl_wacc_Q2 pipeline_Pasta2 2" xfId="6867"/>
    <cellStyle name="c_PFMA Credit (2)" xfId="1034"/>
    <cellStyle name="c_PFMA Credit (2)_Comparativo VP FIN v1_So 2008" xfId="6868"/>
    <cellStyle name="c_PFMA Credit (2)_Comparativo VP MKT 2008 v1_So 2008" xfId="6869"/>
    <cellStyle name="c_PFMA Credit (2)_Comparativo VP TEC 2008 v1_So 2008" xfId="6870"/>
    <cellStyle name="c_PFMA Credit (2)_Comparativo VP TEC 2008_Luiz Sergio" xfId="6871"/>
    <cellStyle name="c_PFMA Credit (2)_Cópia de Modelo - Fluxo de Caixa Orcamento 09052009_V36_3" xfId="1035"/>
    <cellStyle name="c_PFMA Credit (2)_Fluxo de Caixa Orcamento FINAL_13052009" xfId="1036"/>
    <cellStyle name="c_PFMA Credit (2)_FM_dummyV4" xfId="1037"/>
    <cellStyle name="c_PFMA Credit (2)_lalur" xfId="1038"/>
    <cellStyle name="c_PFMA Credit (2)_Leasing_V3" xfId="1039"/>
    <cellStyle name="c_PFMA Credit (2)_MODELO PDP III" xfId="1040"/>
    <cellStyle name="c_PFMA Credit (2)_ORÇ_2009" xfId="1041"/>
    <cellStyle name="c_PFMA Credit (2)_Pasta2" xfId="1042"/>
    <cellStyle name="c_PFMA Income (2)" xfId="1043"/>
    <cellStyle name="c_PFMA Income (2)_Comparativo VP FIN v1_So 2008" xfId="6872"/>
    <cellStyle name="c_PFMA Income (2)_Comparativo VP MKT 2008 v1_So 2008" xfId="6873"/>
    <cellStyle name="c_PFMA Income (2)_Comparativo VP TEC 2008 v1_So 2008" xfId="6874"/>
    <cellStyle name="c_PFMA Income (2)_Comparativo VP TEC 2008_Luiz Sergio" xfId="6875"/>
    <cellStyle name="c_PFMA Income (2)_Cópia de Modelo - Fluxo de Caixa Orcamento 09052009_V36_3" xfId="1044"/>
    <cellStyle name="c_PFMA Income (2)_Fluxo de Caixa Orcamento FINAL_13052009" xfId="1045"/>
    <cellStyle name="c_PFMA Income (2)_FM_dummyV4" xfId="1046"/>
    <cellStyle name="c_PFMA Income (2)_lalur" xfId="1047"/>
    <cellStyle name="c_PFMA Income (2)_Leasing_V3" xfId="1048"/>
    <cellStyle name="c_PFMA Income (2)_MODELO PDP III" xfId="1049"/>
    <cellStyle name="c_PFMA Income (2)_ORÇ_2009" xfId="1050"/>
    <cellStyle name="c_PFMA Income (2)_Pasta2" xfId="1051"/>
    <cellStyle name="c_Pippen (2)" xfId="1052"/>
    <cellStyle name="c_Pippen (2)_Comparativo VP FIN v1_So 2008" xfId="6876"/>
    <cellStyle name="c_Pippen (2)_Comparativo VP MKT 2008 v1_So 2008" xfId="6877"/>
    <cellStyle name="c_Pippen (2)_Comparativo VP TEC 2008 v1_So 2008" xfId="6878"/>
    <cellStyle name="c_Pippen (2)_Comparativo VP TEC 2008_Luiz Sergio" xfId="6879"/>
    <cellStyle name="c_Pippen (2)_Cópia de Modelo - Fluxo de Caixa Orcamento 09052009_V36_3" xfId="1053"/>
    <cellStyle name="c_Pippen (2)_Fluxo de Caixa Orcamento FINAL_13052009" xfId="1054"/>
    <cellStyle name="c_Pippen (2)_FM_dummyV4" xfId="1055"/>
    <cellStyle name="c_Pippen (2)_lalur" xfId="1056"/>
    <cellStyle name="c_Pippen (2)_Leasing_V3" xfId="1057"/>
    <cellStyle name="c_Pippen (2)_MODELO PDP III" xfId="1058"/>
    <cellStyle name="c_Pippen (2)_ORÇ_2009" xfId="1059"/>
    <cellStyle name="c_Pippen (2)_Pasta2" xfId="1060"/>
    <cellStyle name="c_Pippen Cases (2)" xfId="1061"/>
    <cellStyle name="c_Pippen Cases (2)_Comparativo VP FIN v1_So 2008" xfId="6880"/>
    <cellStyle name="c_Pippen Cases (2)_Comparativo VP MKT 2008 v1_So 2008" xfId="6881"/>
    <cellStyle name="c_Pippen Cases (2)_Comparativo VP TEC 2008 v1_So 2008" xfId="6882"/>
    <cellStyle name="c_Pippen Cases (2)_Comparativo VP TEC 2008_Luiz Sergio" xfId="6883"/>
    <cellStyle name="c_Pippen Cases (2)_Cópia de Modelo - Fluxo de Caixa Orcamento 09052009_V36_3" xfId="1062"/>
    <cellStyle name="c_Pippen Cases (2)_Fluxo de Caixa Orcamento FINAL_13052009" xfId="1063"/>
    <cellStyle name="c_Pippen Cases (2)_FM_dummyV4" xfId="1064"/>
    <cellStyle name="c_Pippen Cases (2)_lalur" xfId="1065"/>
    <cellStyle name="c_Pippen Cases (2)_Leasing_V3" xfId="1066"/>
    <cellStyle name="c_Pippen Cases (2)_MODELO PDP III" xfId="1067"/>
    <cellStyle name="c_Pippen Cases (2)_ORÇ_2009" xfId="1068"/>
    <cellStyle name="c_Pippen Cases (2)_Pasta2" xfId="1069"/>
    <cellStyle name="c_Pippen ValMatrix (2)" xfId="1070"/>
    <cellStyle name="c_Pippen ValMatrix (2)_Comparativo VP FIN v1_So 2008" xfId="6884"/>
    <cellStyle name="c_Pippen ValMatrix (2)_Comparativo VP MKT 2008 v1_So 2008" xfId="6885"/>
    <cellStyle name="c_Pippen ValMatrix (2)_Comparativo VP TEC 2008 v1_So 2008" xfId="6886"/>
    <cellStyle name="c_Pippen ValMatrix (2)_Comparativo VP TEC 2008_Luiz Sergio" xfId="6887"/>
    <cellStyle name="c_Pippen ValMatrix (2)_Cópia de Modelo - Fluxo de Caixa Orcamento 09052009_V36_3" xfId="1071"/>
    <cellStyle name="c_Pippen ValMatrix (2)_Fluxo de Caixa Orcamento FINAL_13052009" xfId="1072"/>
    <cellStyle name="c_Pippen ValMatrix (2)_FM_dummyV4" xfId="1073"/>
    <cellStyle name="c_Pippen ValMatrix (2)_lalur" xfId="1074"/>
    <cellStyle name="c_Pippen ValMatrix (2)_Leasing_V3" xfId="1075"/>
    <cellStyle name="c_Pippen ValMatrix (2)_MODELO PDP III" xfId="1076"/>
    <cellStyle name="c_Pippen ValMatrix (2)_ORÇ_2009" xfId="1077"/>
    <cellStyle name="c_Pippen ValMatrix (2)_Pasta2" xfId="1078"/>
    <cellStyle name="c_PMAT (2)" xfId="1079"/>
    <cellStyle name="c_PMAT (2)_Comparativo VP FIN v1_So 2008" xfId="6888"/>
    <cellStyle name="c_PMAT (2)_Comparativo VP MKT 2008 v1_So 2008" xfId="6889"/>
    <cellStyle name="c_PMAT (2)_Comparativo VP TEC 2008 v1_So 2008" xfId="6890"/>
    <cellStyle name="c_PMAT (2)_Comparativo VP TEC 2008_Luiz Sergio" xfId="6891"/>
    <cellStyle name="c_PMAT (2)_Cópia de Modelo - Fluxo de Caixa Orcamento 09052009_V36_3" xfId="1080"/>
    <cellStyle name="c_PMAT (2)_Fluxo de Caixa Orcamento FINAL_13052009" xfId="1081"/>
    <cellStyle name="c_PMAT (2)_FM_dummyV4" xfId="1082"/>
    <cellStyle name="c_PMAT (2)_lalur" xfId="1083"/>
    <cellStyle name="c_PMAT (2)_Leasing_V3" xfId="1084"/>
    <cellStyle name="c_PMAT (2)_MODELO PDP III" xfId="1085"/>
    <cellStyle name="c_PMAT (2)_ORÇ_2009" xfId="1086"/>
    <cellStyle name="c_PMAT (2)_Pasta2" xfId="1087"/>
    <cellStyle name="c_PMAT (3)" xfId="1088"/>
    <cellStyle name="c_PMAT (3)_Comparativo VP FIN v1_So 2008" xfId="6892"/>
    <cellStyle name="c_PMAT (3)_Comparativo VP MKT 2008 v1_So 2008" xfId="6893"/>
    <cellStyle name="c_PMAT (3)_Comparativo VP TEC 2008 v1_So 2008" xfId="6894"/>
    <cellStyle name="c_PMAT (3)_Comparativo VP TEC 2008_Luiz Sergio" xfId="6895"/>
    <cellStyle name="c_PMAT (3)_Cópia de Modelo - Fluxo de Caixa Orcamento 09052009_V36_3" xfId="1089"/>
    <cellStyle name="c_PMAT (3)_Fluxo de Caixa Orcamento FINAL_13052009" xfId="1090"/>
    <cellStyle name="c_PMAT (3)_FM_dummyV4" xfId="1091"/>
    <cellStyle name="c_PMAT (3)_lalur" xfId="1092"/>
    <cellStyle name="c_PMAT (3)_Leasing_V3" xfId="1093"/>
    <cellStyle name="c_PMAT (3)_MODELO PDP III" xfId="1094"/>
    <cellStyle name="c_PMAT (3)_ORÇ_2009" xfId="1095"/>
    <cellStyle name="c_PMAT (3)_Pasta2" xfId="1096"/>
    <cellStyle name="c_PoundInc" xfId="1097"/>
    <cellStyle name="c_PoundInc (2)" xfId="1098"/>
    <cellStyle name="c_PoundInc (2)_Comparativo VP FIN v1_So 2008" xfId="6896"/>
    <cellStyle name="c_PoundInc (2)_Comparativo VP MKT 2008 v1_So 2008" xfId="6897"/>
    <cellStyle name="c_PoundInc (2)_Comparativo VP TEC 2008 v1_So 2008" xfId="6898"/>
    <cellStyle name="c_PoundInc (2)_Comparativo VP TEC 2008_Luiz Sergio" xfId="6899"/>
    <cellStyle name="c_PoundInc (2)_Cópia de Modelo - Fluxo de Caixa Orcamento 09052009_V36_3" xfId="1099"/>
    <cellStyle name="c_PoundInc (2)_Fluxo de Caixa Orcamento FINAL_13052009" xfId="1100"/>
    <cellStyle name="c_PoundInc (2)_FM_dummyV4" xfId="1101"/>
    <cellStyle name="c_PoundInc (2)_lalur" xfId="1102"/>
    <cellStyle name="c_PoundInc (2)_Leasing_V3" xfId="1103"/>
    <cellStyle name="c_PoundInc (2)_MODELO PDP III" xfId="1104"/>
    <cellStyle name="c_PoundInc (2)_ORÇ_2009" xfId="1105"/>
    <cellStyle name="c_PoundInc (2)_Pasta2" xfId="1106"/>
    <cellStyle name="c_PoundInc_Comparativo VP FIN v1_So 2008" xfId="6900"/>
    <cellStyle name="c_PoundInc_Comparativo VP MKT 2008 v1_So 2008" xfId="6901"/>
    <cellStyle name="c_PoundInc_Comparativo VP TEC 2008 v1_So 2008" xfId="6902"/>
    <cellStyle name="c_PoundInc_Comparativo VP TEC 2008_Luiz Sergio" xfId="6903"/>
    <cellStyle name="c_PoundInc_Cópia de Modelo - Fluxo de Caixa Orcamento 09052009_V36_3" xfId="1107"/>
    <cellStyle name="c_PoundInc_Fluxo de Caixa Orcamento FINAL_13052009" xfId="1108"/>
    <cellStyle name="c_PoundInc_FM_dummyV4" xfId="1109"/>
    <cellStyle name="c_PoundInc_lalur" xfId="1110"/>
    <cellStyle name="c_PoundInc_Leasing_V3" xfId="1111"/>
    <cellStyle name="c_PoundInc_MODELO PDP III" xfId="1112"/>
    <cellStyle name="c_PoundInc_ORÇ_2009" xfId="1113"/>
    <cellStyle name="c_PoundInc_Pasta2" xfId="1114"/>
    <cellStyle name="c_Poundstone (2)" xfId="1115"/>
    <cellStyle name="c_Poundstone (2)_Comparativo VP FIN v1_So 2008" xfId="6904"/>
    <cellStyle name="c_Poundstone (2)_Comparativo VP MKT 2008 v1_So 2008" xfId="6905"/>
    <cellStyle name="c_Poundstone (2)_Comparativo VP TEC 2008 v1_So 2008" xfId="6906"/>
    <cellStyle name="c_Poundstone (2)_Comparativo VP TEC 2008_Luiz Sergio" xfId="6907"/>
    <cellStyle name="c_Poundstone (2)_Cópia de Modelo - Fluxo de Caixa Orcamento 09052009_V36_3" xfId="1116"/>
    <cellStyle name="c_Poundstone (2)_Fluxo de Caixa Orcamento FINAL_13052009" xfId="1117"/>
    <cellStyle name="c_Poundstone (2)_FM_dummyV4" xfId="1118"/>
    <cellStyle name="c_Poundstone (2)_lalur" xfId="1119"/>
    <cellStyle name="c_Poundstone (2)_Leasing_V3" xfId="1120"/>
    <cellStyle name="c_Poundstone (2)_MODELO PDP III" xfId="1121"/>
    <cellStyle name="c_Poundstone (2)_ORÇ_2009" xfId="1122"/>
    <cellStyle name="c_Poundstone (2)_Pasta2" xfId="1123"/>
    <cellStyle name="c_Preliminary Poundstone (2)" xfId="1124"/>
    <cellStyle name="c_Preliminary Poundstone (2)_Comparativo VP FIN v1_So 2008" xfId="6908"/>
    <cellStyle name="c_Preliminary Poundstone (2)_Comparativo VP MKT 2008 v1_So 2008" xfId="6909"/>
    <cellStyle name="c_Preliminary Poundstone (2)_Comparativo VP TEC 2008 v1_So 2008" xfId="6910"/>
    <cellStyle name="c_Preliminary Poundstone (2)_Comparativo VP TEC 2008_Luiz Sergio" xfId="6911"/>
    <cellStyle name="c_Preliminary Poundstone (2)_Cópia de Modelo - Fluxo de Caixa Orcamento 09052009_V36_3" xfId="1125"/>
    <cellStyle name="c_Preliminary Poundstone (2)_Fluxo de Caixa Orcamento FINAL_13052009" xfId="1126"/>
    <cellStyle name="c_Preliminary Poundstone (2)_FM_dummyV4" xfId="1127"/>
    <cellStyle name="c_Preliminary Poundstone (2)_lalur" xfId="1128"/>
    <cellStyle name="c_Preliminary Poundstone (2)_Leasing_V3" xfId="1129"/>
    <cellStyle name="c_Preliminary Poundstone (2)_MODELO PDP III" xfId="1130"/>
    <cellStyle name="c_Preliminary Poundstone (2)_ORÇ_2009" xfId="1131"/>
    <cellStyle name="c_Preliminary Poundstone (2)_Pasta2" xfId="1132"/>
    <cellStyle name="c_Q2 pipeline" xfId="1133"/>
    <cellStyle name="c_Q2 pipeline 2" xfId="6912"/>
    <cellStyle name="c_Q2 pipeline_Cópia de Modelo - Fluxo de Caixa Orcamento 09052009_V36_3" xfId="1134"/>
    <cellStyle name="c_Q2 pipeline_Cópia de Modelo - Fluxo de Caixa Orcamento 09052009_V36_3 2" xfId="6913"/>
    <cellStyle name="c_Q2 pipeline_Fluxo de Caixa Orcamento FINAL_13052009" xfId="1135"/>
    <cellStyle name="c_Q2 pipeline_Fluxo de Caixa Orcamento FINAL_13052009 2" xfId="6914"/>
    <cellStyle name="c_Q2 pipeline_FM_dummyV4" xfId="1136"/>
    <cellStyle name="c_Q2 pipeline_lalur" xfId="1137"/>
    <cellStyle name="c_Q2 pipeline_Leasing_V3" xfId="1138"/>
    <cellStyle name="c_Q2 pipeline_MODELO PDP III" xfId="1139"/>
    <cellStyle name="c_Q2 pipeline_ORÇ_2009" xfId="1140"/>
    <cellStyle name="c_Q2 pipeline_ORÇ_2009 2" xfId="6915"/>
    <cellStyle name="c_Q2 pipeline_Pasta2" xfId="1141"/>
    <cellStyle name="c_Q2 pipeline_Pasta2 2" xfId="6916"/>
    <cellStyle name="c_Resultados mensais - Arquivo base maio 2010" xfId="6917"/>
    <cellStyle name="c_Resultados mensais - Arquivo base maio 2010 2" xfId="9481"/>
    <cellStyle name="c_Resultados mensais - Arquivo base maio 2010_Base ITR Set-10 - Ajustes Resmat" xfId="6918"/>
    <cellStyle name="c_RushValSum (2)" xfId="1142"/>
    <cellStyle name="c_RushValSum (2)_Comparativo VP FIN v1_So 2008" xfId="6919"/>
    <cellStyle name="c_RushValSum (2)_Comparativo VP MKT 2008 v1_So 2008" xfId="6920"/>
    <cellStyle name="c_RushValSum (2)_Comparativo VP TEC 2008 v1_So 2008" xfId="6921"/>
    <cellStyle name="c_RushValSum (2)_Comparativo VP TEC 2008_Luiz Sergio" xfId="6922"/>
    <cellStyle name="c_RushValSum (2)_Cópia de Modelo - Fluxo de Caixa Orcamento 09052009_V36_3" xfId="1143"/>
    <cellStyle name="c_RushValSum (2)_Fluxo de Caixa Orcamento FINAL_13052009" xfId="1144"/>
    <cellStyle name="c_RushValSum (2)_FM_dummyV4" xfId="1145"/>
    <cellStyle name="c_RushValSum (2)_lalur" xfId="1146"/>
    <cellStyle name="c_RushValSum (2)_Leasing_V3" xfId="1147"/>
    <cellStyle name="c_RushValSum (2)_MODELO PDP III" xfId="1148"/>
    <cellStyle name="c_RushValSum (2)_ORÇ_2009" xfId="1149"/>
    <cellStyle name="c_RushValSum (2)_Pasta2" xfId="1150"/>
    <cellStyle name="c_Schedules" xfId="1151"/>
    <cellStyle name="c_Schedules_Comparativo VP FIN v1_So 2008" xfId="6923"/>
    <cellStyle name="c_Schedules_Comparativo VP MKT 2008 v1_So 2008" xfId="6924"/>
    <cellStyle name="c_Schedules_Comparativo VP TEC 2008 v1_So 2008" xfId="6925"/>
    <cellStyle name="c_Schedules_Comparativo VP TEC 2008_Luiz Sergio" xfId="6926"/>
    <cellStyle name="c_Schedules_Cópia de Modelo - Fluxo de Caixa Orcamento 09052009_V36_3" xfId="1152"/>
    <cellStyle name="c_Schedules_Fluxo de Caixa Orcamento FINAL_13052009" xfId="1153"/>
    <cellStyle name="c_Schedules_FM_dummyV4" xfId="1154"/>
    <cellStyle name="c_Schedules_lalur" xfId="1155"/>
    <cellStyle name="c_Schedules_Leasing_V3" xfId="1156"/>
    <cellStyle name="c_Schedules_MODELO PDP III" xfId="1157"/>
    <cellStyle name="c_Schedules_ORÇ_2009" xfId="1158"/>
    <cellStyle name="c_Schedules_Pasta2" xfId="1159"/>
    <cellStyle name="c_Statement Sky - Finance" xfId="1160"/>
    <cellStyle name="c_Stub Value" xfId="1161"/>
    <cellStyle name="c_Stub Value_Comparativo VP FIN v1_So 2008" xfId="6927"/>
    <cellStyle name="c_Stub Value_Comparativo VP MKT 2008 v1_So 2008" xfId="6928"/>
    <cellStyle name="c_Stub Value_Comparativo VP TEC 2008 v1_So 2008" xfId="6929"/>
    <cellStyle name="c_Stub Value_Comparativo VP TEC 2008_Luiz Sergio" xfId="6930"/>
    <cellStyle name="c_Stub Value_Cópia de Modelo - Fluxo de Caixa Orcamento 09052009_V36_3" xfId="1162"/>
    <cellStyle name="c_Stub Value_Fluxo de Caixa Orcamento FINAL_13052009" xfId="1163"/>
    <cellStyle name="c_Stub Value_FM_dummyV4" xfId="1164"/>
    <cellStyle name="c_Stub Value_lalur" xfId="1165"/>
    <cellStyle name="c_Stub Value_Leasing_V3" xfId="1166"/>
    <cellStyle name="c_Stub Value_MODELO PDP III" xfId="1167"/>
    <cellStyle name="c_Stub Value_ORÇ_2009" xfId="1168"/>
    <cellStyle name="c_Stub Value_Pasta2" xfId="1169"/>
    <cellStyle name="c_Summary of Pro Forma (2)" xfId="1170"/>
    <cellStyle name="c_Summary of Pro Forma (2)_Comparativo VP FIN v1_So 2008" xfId="6931"/>
    <cellStyle name="c_Summary of Pro Forma (2)_Comparativo VP MKT 2008 v1_So 2008" xfId="6932"/>
    <cellStyle name="c_Summary of Pro Forma (2)_Comparativo VP TEC 2008 v1_So 2008" xfId="6933"/>
    <cellStyle name="c_Summary of Pro Forma (2)_Comparativo VP TEC 2008_Luiz Sergio" xfId="6934"/>
    <cellStyle name="c_Summary of Pro Forma (2)_Cópia de Modelo - Fluxo de Caixa Orcamento 09052009_V36_3" xfId="1171"/>
    <cellStyle name="c_Summary of Pro Forma (2)_Fluxo de Caixa Orcamento FINAL_13052009" xfId="1172"/>
    <cellStyle name="c_Summary of Pro Forma (2)_FM_dummyV4" xfId="1173"/>
    <cellStyle name="c_Summary of Pro Forma (2)_lalur" xfId="1174"/>
    <cellStyle name="c_Summary of Pro Forma (2)_Leasing_V3" xfId="1175"/>
    <cellStyle name="c_Summary of Pro Forma (2)_MODELO PDP III" xfId="1176"/>
    <cellStyle name="c_Summary of Pro Forma (2)_ORÇ_2009" xfId="1177"/>
    <cellStyle name="c_Summary of Pro Forma (2)_Pasta2" xfId="1178"/>
    <cellStyle name="c_Summary of Pro Forma (3)" xfId="1179"/>
    <cellStyle name="c_Summary of Pro Forma (3)_Comparativo VP FIN v1_So 2008" xfId="6935"/>
    <cellStyle name="c_Summary of Pro Forma (3)_Comparativo VP MKT 2008 v1_So 2008" xfId="6936"/>
    <cellStyle name="c_Summary of Pro Forma (3)_Comparativo VP TEC 2008 v1_So 2008" xfId="6937"/>
    <cellStyle name="c_Summary of Pro Forma (3)_Comparativo VP TEC 2008_Luiz Sergio" xfId="6938"/>
    <cellStyle name="c_Summary of Pro Forma (3)_Cópia de Modelo - Fluxo de Caixa Orcamento 09052009_V36_3" xfId="1180"/>
    <cellStyle name="c_Summary of Pro Forma (3)_Fluxo de Caixa Orcamento FINAL_13052009" xfId="1181"/>
    <cellStyle name="c_Summary of Pro Forma (3)_FM_dummyV4" xfId="1182"/>
    <cellStyle name="c_Summary of Pro Forma (3)_lalur" xfId="1183"/>
    <cellStyle name="c_Summary of Pro Forma (3)_Leasing_V3" xfId="1184"/>
    <cellStyle name="c_Summary of Pro Forma (3)_MODELO PDP III" xfId="1185"/>
    <cellStyle name="c_Summary of Pro Forma (3)_ORÇ_2009" xfId="1186"/>
    <cellStyle name="c_Summary of Pro Forma (3)_Pasta2" xfId="1187"/>
    <cellStyle name="c_Texas_Louisiana (2)" xfId="1188"/>
    <cellStyle name="c_Texas_Louisiana (2)_Comparativo VP FIN v1_So 2008" xfId="6939"/>
    <cellStyle name="c_Texas_Louisiana (2)_Comparativo VP MKT 2008 v1_So 2008" xfId="6940"/>
    <cellStyle name="c_Texas_Louisiana (2)_Comparativo VP TEC 2008 v1_So 2008" xfId="6941"/>
    <cellStyle name="c_Texas_Louisiana (2)_Comparativo VP TEC 2008_Luiz Sergio" xfId="6942"/>
    <cellStyle name="c_Texas_Louisiana (2)_Cópia de Modelo - Fluxo de Caixa Orcamento 09052009_V36_3" xfId="1189"/>
    <cellStyle name="c_Texas_Louisiana (2)_Fluxo de Caixa Orcamento FINAL_13052009" xfId="1190"/>
    <cellStyle name="c_Texas_Louisiana (2)_FM_dummyV4" xfId="1191"/>
    <cellStyle name="c_Texas_Louisiana (2)_lalur" xfId="1192"/>
    <cellStyle name="c_Texas_Louisiana (2)_Leasing_V3" xfId="1193"/>
    <cellStyle name="c_Texas_Louisiana (2)_MODELO PDP III" xfId="1194"/>
    <cellStyle name="c_Texas_Louisiana (2)_ORÇ_2009" xfId="1195"/>
    <cellStyle name="c_Texas_Louisiana (2)_Pasta2" xfId="1196"/>
    <cellStyle name="c_Timex-Gucci Merger2" xfId="1197"/>
    <cellStyle name="c_Timex-Gucci Merger2_Comparativo VP FIN v1_So 2008" xfId="6943"/>
    <cellStyle name="c_Timex-Gucci Merger2_Comparativo VP MKT 2008 v1_So 2008" xfId="6944"/>
    <cellStyle name="c_Timex-Gucci Merger2_Comparativo VP TEC 2008 v1_So 2008" xfId="6945"/>
    <cellStyle name="c_Timex-Gucci Merger2_Comparativo VP TEC 2008_Luiz Sergio" xfId="6946"/>
    <cellStyle name="c_Timex-Gucci Merger2_Cópia de Modelo - Fluxo de Caixa Orcamento 09052009_V36_3" xfId="1198"/>
    <cellStyle name="c_Timex-Gucci Merger2_Fluxo de Caixa Orcamento FINAL_13052009" xfId="1199"/>
    <cellStyle name="c_Timex-Gucci Merger2_FM_dummyV4" xfId="1200"/>
    <cellStyle name="c_Timex-Gucci Merger2_lalur" xfId="1201"/>
    <cellStyle name="c_Timex-Gucci Merger2_Leasing_V3" xfId="1202"/>
    <cellStyle name="c_Timex-Gucci Merger2_MODELO PDP III" xfId="1203"/>
    <cellStyle name="c_Timex-Gucci Merger2_ORÇ_2009" xfId="1204"/>
    <cellStyle name="c_Timex-Gucci Merger2_Pasta2" xfId="1205"/>
    <cellStyle name="c_Trans Assump (2)" xfId="1206"/>
    <cellStyle name="c_Trans Assump (2)_Comparativo VP FIN v1_So 2008" xfId="6947"/>
    <cellStyle name="c_Trans Assump (2)_Comparativo VP MKT 2008 v1_So 2008" xfId="6948"/>
    <cellStyle name="c_Trans Assump (2)_Comparativo VP TEC 2008 v1_So 2008" xfId="6949"/>
    <cellStyle name="c_Trans Assump (2)_Comparativo VP TEC 2008_Luiz Sergio" xfId="6950"/>
    <cellStyle name="c_Trans Assump (2)_Cópia de Modelo - Fluxo de Caixa Orcamento 09052009_V36_3" xfId="1207"/>
    <cellStyle name="c_Trans Assump (2)_Fluxo de Caixa Orcamento FINAL_13052009" xfId="1208"/>
    <cellStyle name="c_Trans Assump (2)_FM_dummyV4" xfId="1209"/>
    <cellStyle name="c_Trans Assump (2)_lalur" xfId="1210"/>
    <cellStyle name="c_Trans Assump (2)_Leasing_V3" xfId="1211"/>
    <cellStyle name="c_Trans Assump (2)_MODELO PDP III" xfId="1212"/>
    <cellStyle name="c_Trans Assump (2)_ORÇ_2009" xfId="1213"/>
    <cellStyle name="c_Trans Assump (2)_Pasta2" xfId="1214"/>
    <cellStyle name="c_Unit Price Sen. (2)" xfId="1215"/>
    <cellStyle name="c_Unit Price Sen. (2)_Comparativo VP FIN v1_So 2008" xfId="6951"/>
    <cellStyle name="c_Unit Price Sen. (2)_Comparativo VP MKT 2008 v1_So 2008" xfId="6952"/>
    <cellStyle name="c_Unit Price Sen. (2)_Comparativo VP TEC 2008 v1_So 2008" xfId="6953"/>
    <cellStyle name="c_Unit Price Sen. (2)_Comparativo VP TEC 2008_Luiz Sergio" xfId="6954"/>
    <cellStyle name="c_Unit Price Sen. (2)_Cópia de Modelo - Fluxo de Caixa Orcamento 09052009_V36_3" xfId="1216"/>
    <cellStyle name="c_Unit Price Sen. (2)_Fluxo de Caixa Orcamento FINAL_13052009" xfId="1217"/>
    <cellStyle name="c_Unit Price Sen. (2)_FM_dummyV4" xfId="1218"/>
    <cellStyle name="c_Unit Price Sen. (2)_lalur" xfId="1219"/>
    <cellStyle name="c_Unit Price Sen. (2)_Leasing_V3" xfId="1220"/>
    <cellStyle name="c_Unit Price Sen. (2)_MODELO PDP III" xfId="1221"/>
    <cellStyle name="c_Unit Price Sen. (2)_ORÇ_2009" xfId="1222"/>
    <cellStyle name="c_Unit Price Sen. (2)_Pasta2" xfId="1223"/>
    <cellStyle name="c_Valuation Summary" xfId="1224"/>
    <cellStyle name="c_Valuation Summary (2)" xfId="1225"/>
    <cellStyle name="c_Valuation Summary (2)_Comparativo VP FIN v1_So 2008" xfId="6955"/>
    <cellStyle name="c_Valuation Summary (2)_Comparativo VP MKT 2008 v1_So 2008" xfId="6956"/>
    <cellStyle name="c_Valuation Summary (2)_Comparativo VP TEC 2008 v1_So 2008" xfId="6957"/>
    <cellStyle name="c_Valuation Summary (2)_Comparativo VP TEC 2008_Luiz Sergio" xfId="6958"/>
    <cellStyle name="c_Valuation Summary (2)_Cópia de Modelo - Fluxo de Caixa Orcamento 09052009_V36_3" xfId="1226"/>
    <cellStyle name="c_Valuation Summary (2)_Fluxo de Caixa Orcamento FINAL_13052009" xfId="1227"/>
    <cellStyle name="c_Valuation Summary (2)_FM_dummyV4" xfId="1228"/>
    <cellStyle name="c_Valuation Summary (2)_lalur" xfId="1229"/>
    <cellStyle name="c_Valuation Summary (2)_Leasing_V3" xfId="1230"/>
    <cellStyle name="c_Valuation Summary (2)_MODELO PDP III" xfId="1231"/>
    <cellStyle name="c_Valuation Summary (2)_ORÇ_2009" xfId="1232"/>
    <cellStyle name="c_Valuation Summary (2)_Pasta2" xfId="1233"/>
    <cellStyle name="c_Valuation Summary_Comparativo VP FIN v1_So 2008" xfId="6959"/>
    <cellStyle name="c_Valuation Summary_Comparativo VP MKT 2008 v1_So 2008" xfId="6960"/>
    <cellStyle name="c_Valuation Summary_Comparativo VP TEC 2008 v1_So 2008" xfId="6961"/>
    <cellStyle name="c_Valuation Summary_Comparativo VP TEC 2008_Luiz Sergio" xfId="6962"/>
    <cellStyle name="c_Valuation Summary_Cópia de Modelo - Fluxo de Caixa Orcamento 09052009_V36_3" xfId="1234"/>
    <cellStyle name="c_Valuation Summary_Fluxo de Caixa Orcamento FINAL_13052009" xfId="1235"/>
    <cellStyle name="c_Valuation Summary_FM_dummyV4" xfId="1236"/>
    <cellStyle name="c_Valuation Summary_lalur" xfId="1237"/>
    <cellStyle name="c_Valuation Summary_Leasing_V3" xfId="1238"/>
    <cellStyle name="c_Valuation Summary_MODELO PDP III" xfId="1239"/>
    <cellStyle name="c_Valuation Summary_ORÇ_2009" xfId="1240"/>
    <cellStyle name="c_Valuation Summary_Pasta2" xfId="1241"/>
    <cellStyle name="c_Warrant" xfId="1242"/>
    <cellStyle name="c_Warrant_Comparativo VP FIN v1_So 2008" xfId="6963"/>
    <cellStyle name="c_Warrant_Comparativo VP MKT 2008 v1_So 2008" xfId="6964"/>
    <cellStyle name="c_Warrant_Comparativo VP TEC 2008 v1_So 2008" xfId="6965"/>
    <cellStyle name="c_Warrant_Comparativo VP TEC 2008_Luiz Sergio" xfId="6966"/>
    <cellStyle name="c_Warrant_Cópia de Modelo - Fluxo de Caixa Orcamento 09052009_V36_3" xfId="1243"/>
    <cellStyle name="c_Warrant_Fluxo de Caixa Orcamento FINAL_13052009" xfId="1244"/>
    <cellStyle name="c_Warrant_FM_dummyV4" xfId="1245"/>
    <cellStyle name="c_Warrant_lalur" xfId="1246"/>
    <cellStyle name="c_Warrant_Leasing_V3" xfId="1247"/>
    <cellStyle name="c_Warrant_MODELO PDP III" xfId="1248"/>
    <cellStyle name="c_Warrant_ORÇ_2009" xfId="1249"/>
    <cellStyle name="c_Warrant_Pasta2" xfId="1250"/>
    <cellStyle name="c0" xfId="1251"/>
    <cellStyle name="c0 2" xfId="6967"/>
    <cellStyle name="c2" xfId="1252"/>
    <cellStyle name="c2 2" xfId="6968"/>
    <cellStyle name="Cabeçalho 1" xfId="9482"/>
    <cellStyle name="Cabeçalho 2" xfId="9483"/>
    <cellStyle name="Calc Currency (0)" xfId="1253"/>
    <cellStyle name="Calc Currency (0) 2" xfId="6969"/>
    <cellStyle name="Calc Currency (2)" xfId="1254"/>
    <cellStyle name="Calc Currency (2) 2" xfId="6970"/>
    <cellStyle name="Calc Percent (0)" xfId="1255"/>
    <cellStyle name="Calc Percent (0) 2" xfId="6971"/>
    <cellStyle name="Calc Percent (1)" xfId="1256"/>
    <cellStyle name="Calc Percent (1) 2" xfId="6972"/>
    <cellStyle name="Calc Percent (2)" xfId="1257"/>
    <cellStyle name="Calc Percent (2) 2" xfId="6973"/>
    <cellStyle name="Calc Units (0)" xfId="1258"/>
    <cellStyle name="Calc Units (0) 2" xfId="6974"/>
    <cellStyle name="Calc Units (1)" xfId="1259"/>
    <cellStyle name="Calc Units (1) 2" xfId="6975"/>
    <cellStyle name="Calc Units (2)" xfId="1260"/>
    <cellStyle name="Calc Units (2) 2" xfId="6976"/>
    <cellStyle name="Calculado" xfId="1261"/>
    <cellStyle name="Calculation" xfId="1262"/>
    <cellStyle name="Calculation 2" xfId="1263"/>
    <cellStyle name="Cálculo 2" xfId="23"/>
    <cellStyle name="Cálculo 2 2" xfId="6977"/>
    <cellStyle name="Cálculo 3" xfId="6978"/>
    <cellStyle name="Cálculo 3 2" xfId="6979"/>
    <cellStyle name="Cálculo 4" xfId="6980"/>
    <cellStyle name="Cálculo 4 2" xfId="6981"/>
    <cellStyle name="Cálculo 5" xfId="9484"/>
    <cellStyle name="Cálculo 6" xfId="9485"/>
    <cellStyle name="Cálculo 7" xfId="9486"/>
    <cellStyle name="Cálculo 8" xfId="6251"/>
    <cellStyle name="Cancel" xfId="1264"/>
    <cellStyle name="Cancel 2" xfId="1265"/>
    <cellStyle name="Cancel 2 2" xfId="1266"/>
    <cellStyle name="Cancel 3" xfId="1267"/>
    <cellStyle name="Cancel 4" xfId="1268"/>
    <cellStyle name="Cancel_INFO" xfId="1269"/>
    <cellStyle name="cell" xfId="6982"/>
    <cellStyle name="Célula de Verificação 2" xfId="24"/>
    <cellStyle name="Célula de Verificação 2 2" xfId="6232"/>
    <cellStyle name="Célula de Verificação 3" xfId="6233"/>
    <cellStyle name="Célula de Verificação 4" xfId="6983"/>
    <cellStyle name="Célula de Verificação 5" xfId="9487"/>
    <cellStyle name="Célula de Verificação 6" xfId="9488"/>
    <cellStyle name="Célula de Verificação 7" xfId="9489"/>
    <cellStyle name="Célula de Verificação 8" xfId="6253"/>
    <cellStyle name="Célula Vinculada 2" xfId="25"/>
    <cellStyle name="Célula Vinculada 3" xfId="6234"/>
    <cellStyle name="Célula Vinculada 4" xfId="6984"/>
    <cellStyle name="Célula Vinculada 5" xfId="9490"/>
    <cellStyle name="Célula Vinculada 6" xfId="9491"/>
    <cellStyle name="Célula Vinculada 7" xfId="9492"/>
    <cellStyle name="Célula Vinculada 8" xfId="6252"/>
    <cellStyle name="CélulaBase" xfId="1270"/>
    <cellStyle name="Centered Heading" xfId="1271"/>
    <cellStyle name="CenterHead" xfId="1272"/>
    <cellStyle name="ch" xfId="6985"/>
    <cellStyle name="Changeable" xfId="1273"/>
    <cellStyle name="Check Cell" xfId="1274"/>
    <cellStyle name="Check Cell 2" xfId="1275"/>
    <cellStyle name="co" xfId="1276"/>
    <cellStyle name="co 2" xfId="6986"/>
    <cellStyle name="Code" xfId="1277"/>
    <cellStyle name="Code Section" xfId="1278"/>
    <cellStyle name="Codigos" xfId="1279"/>
    <cellStyle name="ColHeading" xfId="1280"/>
    <cellStyle name="Column_Title" xfId="1281"/>
    <cellStyle name="Comma  - Style1" xfId="1282"/>
    <cellStyle name="Comma  - Style2" xfId="1283"/>
    <cellStyle name="Comma  - Style3" xfId="1284"/>
    <cellStyle name="Comma  - Style4" xfId="1285"/>
    <cellStyle name="Comma  - Style5" xfId="1286"/>
    <cellStyle name="Comma  - Style6" xfId="1287"/>
    <cellStyle name="Comma  - Style7" xfId="1288"/>
    <cellStyle name="Comma  - Style8" xfId="1289"/>
    <cellStyle name="Comma (1)" xfId="1290"/>
    <cellStyle name="Comma (1) 2" xfId="6987"/>
    <cellStyle name="Comma [0]_ CAPEX" xfId="6988"/>
    <cellStyle name="Comma [00]" xfId="1291"/>
    <cellStyle name="Comma [00] 2" xfId="6989"/>
    <cellStyle name="Comma [1]" xfId="1292"/>
    <cellStyle name="Comma [2]" xfId="1293"/>
    <cellStyle name="Comma 0" xfId="1294"/>
    <cellStyle name="Comma 0*" xfId="1295"/>
    <cellStyle name="Comma 0.0" xfId="1296"/>
    <cellStyle name="Comma 0.00" xfId="1297"/>
    <cellStyle name="Comma 0.000" xfId="1298"/>
    <cellStyle name="Comma 0_10.23.03 Illustrative - Stress CDI" xfId="1299"/>
    <cellStyle name="Comma 1" xfId="1300"/>
    <cellStyle name="Comma 10" xfId="6990"/>
    <cellStyle name="Comma 11" xfId="6991"/>
    <cellStyle name="Comma 12" xfId="6992"/>
    <cellStyle name="Comma 13" xfId="6993"/>
    <cellStyle name="Comma 14" xfId="6994"/>
    <cellStyle name="Comma 15" xfId="6995"/>
    <cellStyle name="Comma 16" xfId="6996"/>
    <cellStyle name="Comma 17" xfId="6997"/>
    <cellStyle name="Comma 18" xfId="6998"/>
    <cellStyle name="Comma 19" xfId="6999"/>
    <cellStyle name="Comma 2" xfId="1301"/>
    <cellStyle name="Comma 2 2" xfId="7000"/>
    <cellStyle name="Comma 2 2 2" xfId="9512"/>
    <cellStyle name="Comma 2 3" xfId="7001"/>
    <cellStyle name="Comma 20" xfId="7002"/>
    <cellStyle name="Comma 21" xfId="7003"/>
    <cellStyle name="Comma 22" xfId="7004"/>
    <cellStyle name="Comma 23" xfId="7005"/>
    <cellStyle name="Comma 24" xfId="7006"/>
    <cellStyle name="Comma 25" xfId="7007"/>
    <cellStyle name="Comma 26" xfId="7008"/>
    <cellStyle name="Comma 27" xfId="7009"/>
    <cellStyle name="Comma 28" xfId="7010"/>
    <cellStyle name="Comma 29" xfId="7011"/>
    <cellStyle name="Comma 3" xfId="1302"/>
    <cellStyle name="Comma 3 2" xfId="7012"/>
    <cellStyle name="Comma 3 2 2" xfId="9513"/>
    <cellStyle name="Comma 30" xfId="7013"/>
    <cellStyle name="Comma 31" xfId="7014"/>
    <cellStyle name="Comma 32" xfId="7015"/>
    <cellStyle name="Comma 33" xfId="7016"/>
    <cellStyle name="Comma 34" xfId="7017"/>
    <cellStyle name="Comma 35" xfId="7018"/>
    <cellStyle name="Comma 36" xfId="7019"/>
    <cellStyle name="Comma 37" xfId="7020"/>
    <cellStyle name="Comma 38" xfId="7021"/>
    <cellStyle name="Comma 39" xfId="7022"/>
    <cellStyle name="Comma 4" xfId="1303"/>
    <cellStyle name="Comma 4 2" xfId="7023"/>
    <cellStyle name="Comma 40" xfId="7024"/>
    <cellStyle name="Comma 40 2" xfId="9514"/>
    <cellStyle name="Comma 41" xfId="7025"/>
    <cellStyle name="Comma 42" xfId="7026"/>
    <cellStyle name="Comma 5" xfId="1304"/>
    <cellStyle name="Comma 5 2" xfId="7027"/>
    <cellStyle name="Comma 6" xfId="7028"/>
    <cellStyle name="Comma 6 2" xfId="9515"/>
    <cellStyle name="Comma 7" xfId="7029"/>
    <cellStyle name="Comma 7 2" xfId="9516"/>
    <cellStyle name="Comma 8" xfId="7030"/>
    <cellStyle name="Comma 9" xfId="7031"/>
    <cellStyle name="comma[0]" xfId="1305"/>
    <cellStyle name="Comma_ CAPEX" xfId="7032"/>
    <cellStyle name="Comma0" xfId="1306"/>
    <cellStyle name="Comma0 - Modelo1" xfId="1307"/>
    <cellStyle name="Comma0 - Style1" xfId="1308"/>
    <cellStyle name="Comma1 - Modelo2" xfId="1309"/>
    <cellStyle name="Comma1 - Style2" xfId="1310"/>
    <cellStyle name="comma2" xfId="1311"/>
    <cellStyle name="Company" xfId="1312"/>
    <cellStyle name="Company Name" xfId="1313"/>
    <cellStyle name="CompanyName" xfId="1314"/>
    <cellStyle name="Copied" xfId="7033"/>
    <cellStyle name="COST1" xfId="7034"/>
    <cellStyle name="CoverPage" xfId="1315"/>
    <cellStyle name="CurRatio" xfId="1316"/>
    <cellStyle name="Currency [0.00]" xfId="1317"/>
    <cellStyle name="Currency [0.00] 2" xfId="7035"/>
    <cellStyle name="Currency [0]_ CAPEX" xfId="7036"/>
    <cellStyle name="Currency [00]" xfId="1318"/>
    <cellStyle name="Currency [00] 2" xfId="7037"/>
    <cellStyle name="Currency [1]" xfId="1319"/>
    <cellStyle name="Currency [1] 2" xfId="1320"/>
    <cellStyle name="Currency [2]" xfId="1321"/>
    <cellStyle name="Currency 0" xfId="1322"/>
    <cellStyle name="Currency 0.0" xfId="1323"/>
    <cellStyle name="Currency 0.00" xfId="1324"/>
    <cellStyle name="Currency 0.000" xfId="1325"/>
    <cellStyle name="Currency 0_Emprestfev09 (3)" xfId="1326"/>
    <cellStyle name="Currency 2" xfId="1327"/>
    <cellStyle name="Currency 3" xfId="7038"/>
    <cellStyle name="Currency 3 2" xfId="7039"/>
    <cellStyle name="Currency 4" xfId="7040"/>
    <cellStyle name="Currency 4 2" xfId="7041"/>
    <cellStyle name="Currency 5" xfId="7042"/>
    <cellStyle name="Currency 6" xfId="7043"/>
    <cellStyle name="Currency_ CAPEX" xfId="7044"/>
    <cellStyle name="Currency0" xfId="1328"/>
    <cellStyle name="custom" xfId="7045"/>
    <cellStyle name="d" xfId="1329"/>
    <cellStyle name="d_Q2 pipeline" xfId="1330"/>
    <cellStyle name="d_Q2 pipeline 2" xfId="7046"/>
    <cellStyle name="d_Q2 pipeline_Cópia de Modelo - Fluxo de Caixa Orcamento 09052009_V36_3" xfId="1331"/>
    <cellStyle name="d_Q2 pipeline_Cópia de Modelo - Fluxo de Caixa Orcamento 09052009_V36_3 2" xfId="7047"/>
    <cellStyle name="d_Q2 pipeline_Fluxo de Caixa Orcamento FINAL_13052009" xfId="1332"/>
    <cellStyle name="d_Q2 pipeline_Fluxo de Caixa Orcamento FINAL_13052009 2" xfId="7048"/>
    <cellStyle name="d_Q2 pipeline_FM_dummyV4" xfId="1333"/>
    <cellStyle name="d_Q2 pipeline_lalur" xfId="1334"/>
    <cellStyle name="d_Q2 pipeline_Leasing_V3" xfId="1335"/>
    <cellStyle name="d_Q2 pipeline_MODELO PDP III" xfId="1336"/>
    <cellStyle name="d_Q2 pipeline_ORÇ_2009" xfId="1337"/>
    <cellStyle name="d_Q2 pipeline_ORÇ_2009 2" xfId="7049"/>
    <cellStyle name="d_Q2 pipeline_Pasta2" xfId="1338"/>
    <cellStyle name="d_Q2 pipeline_Pasta2 2" xfId="7050"/>
    <cellStyle name="DadosExternos" xfId="1339"/>
    <cellStyle name="dah" xfId="7051"/>
    <cellStyle name="dan" xfId="7052"/>
    <cellStyle name="Dash" xfId="1340"/>
    <cellStyle name="Data" xfId="7053"/>
    <cellStyle name="Data-1" xfId="7054"/>
    <cellStyle name="Data-2" xfId="7055"/>
    <cellStyle name="Date" xfId="1341"/>
    <cellStyle name="Date [d-mmm-yy]" xfId="1342"/>
    <cellStyle name="Date [d-mmm-yy] 2" xfId="1343"/>
    <cellStyle name="Date [mm-d-yy]" xfId="1344"/>
    <cellStyle name="Date [mm-d-yy] 2" xfId="1345"/>
    <cellStyle name="Date [mm-d-yyyy]" xfId="1346"/>
    <cellStyle name="Date [mm-d-yyyy] 2" xfId="1347"/>
    <cellStyle name="Date [mmm-d-yyyy]" xfId="1348"/>
    <cellStyle name="Date [mmm-d-yyyy] 2" xfId="1349"/>
    <cellStyle name="Date [mmm-yy]" xfId="1350"/>
    <cellStyle name="Date [mmm-yy] 2" xfId="1351"/>
    <cellStyle name="Date [mmm-yyyy]" xfId="1352"/>
    <cellStyle name="Date [mmm-yyyy] 2" xfId="1353"/>
    <cellStyle name="Date [mmm-yyyy]_INFO" xfId="1354"/>
    <cellStyle name="Date 2" xfId="1355"/>
    <cellStyle name="Date Aligned" xfId="1356"/>
    <cellStyle name="Date Short" xfId="1357"/>
    <cellStyle name="Date_10.23.03 Illustrative - Stress CDI" xfId="1358"/>
    <cellStyle name="Date2" xfId="1359"/>
    <cellStyle name="Date2 2" xfId="1360"/>
    <cellStyle name="Date2_INFO" xfId="1361"/>
    <cellStyle name="decimal 0" xfId="1362"/>
    <cellStyle name="decimal 1" xfId="1363"/>
    <cellStyle name="Decimal 2" xfId="1364"/>
    <cellStyle name="Decimal 3" xfId="1365"/>
    <cellStyle name="DESCRIÇÃO" xfId="1366"/>
    <cellStyle name="DESCRIÇÃO 2" xfId="7056"/>
    <cellStyle name="Dezimal [0]_Compiling Utility Macros" xfId="1367"/>
    <cellStyle name="Dezimal_Compiling Utility Macros" xfId="1368"/>
    <cellStyle name="Dia" xfId="1369"/>
    <cellStyle name="Diseño" xfId="1370"/>
    <cellStyle name="divisao" xfId="1371"/>
    <cellStyle name="dollar" xfId="1372"/>
    <cellStyle name="dollar[0]" xfId="1373"/>
    <cellStyle name="Dollar_chrw 10-29-02" xfId="1374"/>
    <cellStyle name="dollar0" xfId="1375"/>
    <cellStyle name="dollar0 2" xfId="7057"/>
    <cellStyle name="Dollars" xfId="1376"/>
    <cellStyle name="dollars 2" xfId="1377"/>
    <cellStyle name="dollars_INFO" xfId="1378"/>
    <cellStyle name="Dotted Line" xfId="1379"/>
    <cellStyle name="DriversPercent" xfId="1380"/>
    <cellStyle name="Emphasis 1" xfId="7058"/>
    <cellStyle name="Emphasis 2" xfId="7059"/>
    <cellStyle name="Emphasis 3" xfId="7060"/>
    <cellStyle name="Encabez1" xfId="1381"/>
    <cellStyle name="Encabez2" xfId="1382"/>
    <cellStyle name="Ênfase1 2" xfId="26"/>
    <cellStyle name="Ênfase1 3" xfId="7061"/>
    <cellStyle name="Ênfase1 4" xfId="7062"/>
    <cellStyle name="Ênfase1 5" xfId="6258"/>
    <cellStyle name="Ênfase2 2" xfId="27"/>
    <cellStyle name="Ênfase2 3" xfId="7063"/>
    <cellStyle name="Ênfase2 4" xfId="7064"/>
    <cellStyle name="Ênfase2 5" xfId="6262"/>
    <cellStyle name="Ênfase3 2" xfId="28"/>
    <cellStyle name="Ênfase3 3" xfId="7065"/>
    <cellStyle name="Ênfase3 4" xfId="7066"/>
    <cellStyle name="Ênfase3 5" xfId="6266"/>
    <cellStyle name="Ênfase4 2" xfId="29"/>
    <cellStyle name="Ênfase4 3" xfId="7067"/>
    <cellStyle name="Ênfase4 4" xfId="7068"/>
    <cellStyle name="Ênfase4 5" xfId="6270"/>
    <cellStyle name="Ênfase5 2" xfId="30"/>
    <cellStyle name="Ênfase5 3" xfId="7069"/>
    <cellStyle name="Ênfase5 4" xfId="7070"/>
    <cellStyle name="Ênfase5 5" xfId="6274"/>
    <cellStyle name="Ênfase6 2" xfId="31"/>
    <cellStyle name="Ênfase6 3" xfId="7071"/>
    <cellStyle name="Ênfase6 4" xfId="7072"/>
    <cellStyle name="Ênfase6 5" xfId="6278"/>
    <cellStyle name="Enter Currency (0)" xfId="1383"/>
    <cellStyle name="Enter Currency (0) 2" xfId="7073"/>
    <cellStyle name="Enter Currency (2)" xfId="1384"/>
    <cellStyle name="Enter Currency (2) 2" xfId="7074"/>
    <cellStyle name="Enter Units (0)" xfId="1385"/>
    <cellStyle name="Enter Units (0) 2" xfId="7075"/>
    <cellStyle name="Enter Units (1)" xfId="1386"/>
    <cellStyle name="Enter Units (1) 2" xfId="7076"/>
    <cellStyle name="Enter Units (2)" xfId="1387"/>
    <cellStyle name="Enter Units (2) 2" xfId="7077"/>
    <cellStyle name="Entered" xfId="7078"/>
    <cellStyle name="Entrada 2" xfId="32"/>
    <cellStyle name="Entrada 2 2" xfId="7079"/>
    <cellStyle name="Entrada 3" xfId="6235"/>
    <cellStyle name="Entrada 3 2" xfId="7080"/>
    <cellStyle name="Entrada 4" xfId="7081"/>
    <cellStyle name="Entrada 4 2" xfId="7082"/>
    <cellStyle name="Entrada 5" xfId="6249"/>
    <cellStyle name="EPS" xfId="1388"/>
    <cellStyle name="Estilo 1" xfId="1389"/>
    <cellStyle name="Estilo 1 2" xfId="7083"/>
    <cellStyle name="Estilo 2" xfId="1390"/>
    <cellStyle name="Euro" xfId="1391"/>
    <cellStyle name="Euro 2" xfId="1392"/>
    <cellStyle name="Explanatory Text" xfId="1393"/>
    <cellStyle name="Explanatory Text 2" xfId="1394"/>
    <cellStyle name="f" xfId="1395"/>
    <cellStyle name="f 2" xfId="7084"/>
    <cellStyle name="f_Cópia de Modelo - Fluxo de Caixa Orcamento 09052009_V36_3" xfId="1396"/>
    <cellStyle name="f_Cópia de Modelo - Fluxo de Caixa Orcamento 09052009_V36_3 2" xfId="7085"/>
    <cellStyle name="f_Fluxo de Caixa Orcamento FINAL_13052009" xfId="1397"/>
    <cellStyle name="f_Fluxo de Caixa Orcamento FINAL_13052009 2" xfId="7086"/>
    <cellStyle name="f_FM_dummyV4" xfId="1398"/>
    <cellStyle name="f_lalur" xfId="1399"/>
    <cellStyle name="f_Leasing_V3" xfId="1400"/>
    <cellStyle name="f_MODELO PDP III" xfId="1401"/>
    <cellStyle name="f_MSDWmodell_July00" xfId="1402"/>
    <cellStyle name="f_MSDWmodell_July00 2" xfId="7087"/>
    <cellStyle name="f_MSDWmodell_July00__Posição Hedge USD OIL" xfId="7088"/>
    <cellStyle name="f_MSDWmodell_July00_CA" xfId="1403"/>
    <cellStyle name="f_MSDWmodell_July00_CA 2" xfId="7089"/>
    <cellStyle name="f_MSDWmodell_July00_CA10" xfId="7090"/>
    <cellStyle name="f_MSDWmodell_July00_CA10 2" xfId="7091"/>
    <cellStyle name="f_MSDWmodell_July00_Chart of Accounts 2009" xfId="1404"/>
    <cellStyle name="f_MSDWmodell_July00_Chart of Accounts 2009 2" xfId="7092"/>
    <cellStyle name="f_MSDWmodell_July00_Chart of Accounts 2009_mask" xfId="1405"/>
    <cellStyle name="f_MSDWmodell_July00_Chart of Accounts 2009_old" xfId="1406"/>
    <cellStyle name="f_MSDWmodell_July00_Chart of Accounts 2009_old 2" xfId="7093"/>
    <cellStyle name="f_MSDWmodell_July00_Comparativo VP FIN v1_So 2008" xfId="7094"/>
    <cellStyle name="f_MSDWmodell_July00_Comparativo VP MKT 2008 v1_So 2008" xfId="7095"/>
    <cellStyle name="f_MSDWmodell_July00_Comparativo VP TEC 2008 v1_So 2008" xfId="7096"/>
    <cellStyle name="f_MSDWmodell_July00_Comparativo VP TEC 2008_Luiz Sergio" xfId="7097"/>
    <cellStyle name="f_MSDWmodell_July00_Cópia de Modelo - Fluxo de Caixa Orcamento 09052009_V36_3" xfId="1407"/>
    <cellStyle name="f_MSDWmodell_July00_Cópia de Modelo - Fluxo de Caixa Orcamento 09052009_V36_3 2" xfId="7098"/>
    <cellStyle name="f_MSDWmodell_July00_Fluxo de Caixa Orcamento FINAL_13052009" xfId="1408"/>
    <cellStyle name="f_MSDWmodell_July00_Fluxo de Caixa Orcamento FINAL_13052009 2" xfId="7099"/>
    <cellStyle name="f_MSDWmodell_July00_FM_dummyV4" xfId="1409"/>
    <cellStyle name="f_MSDWmodell_July00_Hedge Positions" xfId="7100"/>
    <cellStyle name="f_MSDWmodell_July00_Indicadores de Custo_17.Out" xfId="7101"/>
    <cellStyle name="f_MSDWmodell_July00_lalur" xfId="1410"/>
    <cellStyle name="f_MSDWmodell_July00_Leasing_V2" xfId="1411"/>
    <cellStyle name="f_MSDWmodell_July00_Leasing_V3" xfId="1412"/>
    <cellStyle name="f_MSDWmodell_July00_MODELO PDP" xfId="1413"/>
    <cellStyle name="f_MSDWmodell_July00_MODELO PDP III" xfId="1414"/>
    <cellStyle name="f_MSDWmodell_July00_New Management" xfId="1415"/>
    <cellStyle name="f_MSDWmodell_July00_ORÇ_2009" xfId="1416"/>
    <cellStyle name="f_MSDWmodell_July00_ORÇ_2009 2" xfId="7102"/>
    <cellStyle name="f_MSDWmodell_July00_Pasta2" xfId="1417"/>
    <cellStyle name="f_MSDWmodell_July00_Pasta2 2" xfId="7103"/>
    <cellStyle name="f_ORÇ_2009" xfId="1418"/>
    <cellStyle name="f_ORÇ_2009 2" xfId="7104"/>
    <cellStyle name="f_Pasta2" xfId="1419"/>
    <cellStyle name="f_Pasta2 2" xfId="7105"/>
    <cellStyle name="f_Q2 pipeline" xfId="1420"/>
    <cellStyle name="f_Q2 pipeline 2" xfId="7106"/>
    <cellStyle name="f_Q2 pipeline__Posição Hedge USD OIL" xfId="7107"/>
    <cellStyle name="f_Q2 pipeline_CA" xfId="1421"/>
    <cellStyle name="f_Q2 pipeline_CA 2" xfId="7108"/>
    <cellStyle name="f_Q2 pipeline_CA10" xfId="7109"/>
    <cellStyle name="f_Q2 pipeline_CA10 2" xfId="7110"/>
    <cellStyle name="f_Q2 pipeline_Chart of Accounts 2009" xfId="1422"/>
    <cellStyle name="f_Q2 pipeline_Chart of Accounts 2009 2" xfId="7111"/>
    <cellStyle name="f_Q2 pipeline_Chart of Accounts 2009_mask" xfId="1423"/>
    <cellStyle name="f_Q2 pipeline_Chart of Accounts 2009_old" xfId="1424"/>
    <cellStyle name="f_Q2 pipeline_Chart of Accounts 2009_old 2" xfId="7112"/>
    <cellStyle name="f_Q2 pipeline_Comparativo VP FIN v1_So 2008" xfId="7113"/>
    <cellStyle name="f_Q2 pipeline_Comparativo VP MKT 2008 v1_So 2008" xfId="7114"/>
    <cellStyle name="f_Q2 pipeline_Comparativo VP TEC 2008 v1_So 2008" xfId="7115"/>
    <cellStyle name="f_Q2 pipeline_Comparativo VP TEC 2008_Luiz Sergio" xfId="7116"/>
    <cellStyle name="f_Q2 pipeline_Cópia de Modelo - Fluxo de Caixa Orcamento 09052009_V36_3" xfId="1425"/>
    <cellStyle name="f_Q2 pipeline_Cópia de Modelo - Fluxo de Caixa Orcamento 09052009_V36_3 2" xfId="7117"/>
    <cellStyle name="f_Q2 pipeline_Fluxo de Caixa Orcamento FINAL_13052009" xfId="1426"/>
    <cellStyle name="f_Q2 pipeline_Fluxo de Caixa Orcamento FINAL_13052009 2" xfId="7118"/>
    <cellStyle name="f_Q2 pipeline_FM_dummyV4" xfId="1427"/>
    <cellStyle name="f_Q2 pipeline_Hedge Positions" xfId="7119"/>
    <cellStyle name="f_Q2 pipeline_Indicadores de Custo_17.Out" xfId="7120"/>
    <cellStyle name="f_Q2 pipeline_lalur" xfId="1428"/>
    <cellStyle name="f_Q2 pipeline_Leasing_V2" xfId="1429"/>
    <cellStyle name="f_Q2 pipeline_Leasing_V3" xfId="1430"/>
    <cellStyle name="f_Q2 pipeline_MODELO PDP" xfId="1431"/>
    <cellStyle name="f_Q2 pipeline_MODELO PDP III" xfId="1432"/>
    <cellStyle name="f_Q2 pipeline_New Management" xfId="1433"/>
    <cellStyle name="f_Q2 pipeline_ORÇ_2009" xfId="1434"/>
    <cellStyle name="f_Q2 pipeline_ORÇ_2009 2" xfId="7121"/>
    <cellStyle name="f_Q2 pipeline_Pasta2" xfId="1435"/>
    <cellStyle name="f_Q2 pipeline_Pasta2 2" xfId="7122"/>
    <cellStyle name="F2" xfId="1436"/>
    <cellStyle name="F3" xfId="1437"/>
    <cellStyle name="F4" xfId="1438"/>
    <cellStyle name="F5" xfId="1439"/>
    <cellStyle name="F6" xfId="1440"/>
    <cellStyle name="F7" xfId="1441"/>
    <cellStyle name="F8" xfId="1442"/>
    <cellStyle name="F8 - Estilo5" xfId="1443"/>
    <cellStyle name="Ficha" xfId="1444"/>
    <cellStyle name="Fijo" xfId="1445"/>
    <cellStyle name="finals" xfId="1446"/>
    <cellStyle name="Financiero" xfId="1447"/>
    <cellStyle name="Fixed" xfId="1448"/>
    <cellStyle name="Fixed [0]" xfId="1449"/>
    <cellStyle name="Fixed [0] 2" xfId="1450"/>
    <cellStyle name="Followed Hyperlink_Model_Real Case4" xfId="1451"/>
    <cellStyle name="FOOTER - Style1" xfId="1452"/>
    <cellStyle name="FOOTER - Style1 2" xfId="7123"/>
    <cellStyle name="Footnote" xfId="1453"/>
    <cellStyle name="Footnote8ital" xfId="1454"/>
    <cellStyle name="Footnote8ital 2" xfId="7124"/>
    <cellStyle name="FORMULAS" xfId="1455"/>
    <cellStyle name="fundoentrada" xfId="1456"/>
    <cellStyle name="fundoentrada 2" xfId="1457"/>
    <cellStyle name="General" xfId="1458"/>
    <cellStyle name="General 2" xfId="7125"/>
    <cellStyle name="Geral" xfId="1459"/>
    <cellStyle name="Good" xfId="1460"/>
    <cellStyle name="Good 2" xfId="1461"/>
    <cellStyle name="Grey" xfId="1462"/>
    <cellStyle name="Grey 2" xfId="1463"/>
    <cellStyle name="Grey_INFO" xfId="1464"/>
    <cellStyle name="Grupo" xfId="1465"/>
    <cellStyle name="gs]_x000d__x000a_Window=-3,49,640,407, , ,3_x000d__x000a_dir1=0,0,640,209,-1,-1,1,30,201,1808,254,C:\MSOFFICE\EXCEL\1997RATE\*.*_x000d__x000a_dir9" xfId="1466"/>
    <cellStyle name="gs]_x000d__x000a_Window=-3,49,640,407, , ,3_x000d__x000a_dir1=0,0,640,209,-1,-1,1,30,201,1808,254,C:\MSOFFICE\EXCEL\1997RATE\*.*_x000d__x000a_dir9 2" xfId="7126"/>
    <cellStyle name="h" xfId="1467"/>
    <cellStyle name="h_Comparativo VP FIN v1_So 2008" xfId="7127"/>
    <cellStyle name="h_Comparativo VP MKT 2008 v1_So 2008" xfId="7128"/>
    <cellStyle name="h_Comparativo VP TEC 2008 v1_So 2008" xfId="7129"/>
    <cellStyle name="h_Comparativo VP TEC 2008_Luiz Sergio" xfId="7130"/>
    <cellStyle name="h_Cópia de Modelo - Fluxo de Caixa Orcamento 09052009_V36_3" xfId="1468"/>
    <cellStyle name="h_Fluxo de Caixa Orcamento FINAL_13052009" xfId="1469"/>
    <cellStyle name="h_FM_dummyV4" xfId="1470"/>
    <cellStyle name="h_lalur" xfId="1471"/>
    <cellStyle name="h_Leasing_V3" xfId="1472"/>
    <cellStyle name="h_lux_compsXM" xfId="1473"/>
    <cellStyle name="h_marlswat" xfId="1474"/>
    <cellStyle name="h_MODELO PDP III" xfId="1475"/>
    <cellStyle name="h_NewOrl_cons" xfId="1476"/>
    <cellStyle name="h_NewOrl_cons_Q2 pipeline" xfId="1477"/>
    <cellStyle name="h_NewOrl_cons_Q2 pipeline 2" xfId="7131"/>
    <cellStyle name="h_NewOrl_cons_Q2 pipeline_Cópia de Modelo - Fluxo de Caixa Orcamento 09052009_V36_3" xfId="1478"/>
    <cellStyle name="h_NewOrl_cons_Q2 pipeline_Cópia de Modelo - Fluxo de Caixa Orcamento 09052009_V36_3 2" xfId="7132"/>
    <cellStyle name="h_NewOrl_cons_Q2 pipeline_Fluxo de Caixa Orcamento FINAL_13052009" xfId="1479"/>
    <cellStyle name="h_NewOrl_cons_Q2 pipeline_Fluxo de Caixa Orcamento FINAL_13052009 2" xfId="7133"/>
    <cellStyle name="h_NewOrl_cons_Q2 pipeline_FM_dummyV4" xfId="1480"/>
    <cellStyle name="h_NewOrl_cons_Q2 pipeline_lalur" xfId="1481"/>
    <cellStyle name="h_NewOrl_cons_Q2 pipeline_Leasing_V3" xfId="1482"/>
    <cellStyle name="h_NewOrl_cons_Q2 pipeline_MODELO PDP III" xfId="1483"/>
    <cellStyle name="h_NewOrl_cons_Q2 pipeline_ORÇ_2009" xfId="1484"/>
    <cellStyle name="h_NewOrl_cons_Q2 pipeline_ORÇ_2009 2" xfId="7134"/>
    <cellStyle name="h_NewOrl_cons_Q2 pipeline_Pasta2" xfId="1485"/>
    <cellStyle name="h_NewOrl_cons_Q2 pipeline_Pasta2 2" xfId="7135"/>
    <cellStyle name="h_ORÇ_2009" xfId="1486"/>
    <cellStyle name="h_Pasta2" xfId="1487"/>
    <cellStyle name="h_pearl_wacc" xfId="1488"/>
    <cellStyle name="h_pearl_wacc_Comparativo VP FIN v1_So 2008" xfId="7136"/>
    <cellStyle name="h_pearl_wacc_Comparativo VP MKT 2008 v1_So 2008" xfId="7137"/>
    <cellStyle name="h_pearl_wacc_Comparativo VP TEC 2008 v1_So 2008" xfId="7138"/>
    <cellStyle name="h_pearl_wacc_Comparativo VP TEC 2008_Luiz Sergio" xfId="7139"/>
    <cellStyle name="h_pearl_wacc_Cópia de Modelo - Fluxo de Caixa Orcamento 09052009_V36_3" xfId="1489"/>
    <cellStyle name="h_pearl_wacc_Fluxo de Caixa Orcamento FINAL_13052009" xfId="1490"/>
    <cellStyle name="h_pearl_wacc_FM_dummyV4" xfId="1491"/>
    <cellStyle name="h_pearl_wacc_lalur" xfId="1492"/>
    <cellStyle name="h_pearl_wacc_Leasing_V3" xfId="1493"/>
    <cellStyle name="h_pearl_wacc_MODELO PDP III" xfId="1494"/>
    <cellStyle name="h_pearl_wacc_ORÇ_2009" xfId="1495"/>
    <cellStyle name="h_pearl_wacc_Pasta2" xfId="1496"/>
    <cellStyle name="h_pearl_wacc_Q2 pipeline" xfId="1497"/>
    <cellStyle name="h_pearl_wacc_Q2 pipeline 2" xfId="7140"/>
    <cellStyle name="h_pearl_wacc_Q2 pipeline_Cópia de Modelo - Fluxo de Caixa Orcamento 09052009_V36_3" xfId="1498"/>
    <cellStyle name="h_pearl_wacc_Q2 pipeline_Cópia de Modelo - Fluxo de Caixa Orcamento 09052009_V36_3 2" xfId="7141"/>
    <cellStyle name="h_pearl_wacc_Q2 pipeline_Fluxo de Caixa Orcamento FINAL_13052009" xfId="1499"/>
    <cellStyle name="h_pearl_wacc_Q2 pipeline_Fluxo de Caixa Orcamento FINAL_13052009 2" xfId="7142"/>
    <cellStyle name="h_pearl_wacc_Q2 pipeline_FM_dummyV4" xfId="1500"/>
    <cellStyle name="h_pearl_wacc_Q2 pipeline_lalur" xfId="1501"/>
    <cellStyle name="h_pearl_wacc_Q2 pipeline_Leasing_V3" xfId="1502"/>
    <cellStyle name="h_pearl_wacc_Q2 pipeline_MODELO PDP III" xfId="1503"/>
    <cellStyle name="h_pearl_wacc_Q2 pipeline_ORÇ_2009" xfId="1504"/>
    <cellStyle name="h_pearl_wacc_Q2 pipeline_ORÇ_2009 2" xfId="7143"/>
    <cellStyle name="h_pearl_wacc_Q2 pipeline_Pasta2" xfId="1505"/>
    <cellStyle name="h_pearl_wacc_Q2 pipeline_Pasta2 2" xfId="7144"/>
    <cellStyle name="h_Q2 pipeline" xfId="1506"/>
    <cellStyle name="h_Q2 pipeline 2" xfId="7145"/>
    <cellStyle name="h_Q2 pipeline_Cópia de Modelo - Fluxo de Caixa Orcamento 09052009_V36_3" xfId="1507"/>
    <cellStyle name="h_Q2 pipeline_Cópia de Modelo - Fluxo de Caixa Orcamento 09052009_V36_3 2" xfId="7146"/>
    <cellStyle name="h_Q2 pipeline_Fluxo de Caixa Orcamento FINAL_13052009" xfId="1508"/>
    <cellStyle name="h_Q2 pipeline_Fluxo de Caixa Orcamento FINAL_13052009 2" xfId="7147"/>
    <cellStyle name="h_Q2 pipeline_FM_dummyV4" xfId="1509"/>
    <cellStyle name="h_Q2 pipeline_lalur" xfId="1510"/>
    <cellStyle name="h_Q2 pipeline_Leasing_V3" xfId="1511"/>
    <cellStyle name="h_Q2 pipeline_MODELO PDP III" xfId="1512"/>
    <cellStyle name="h_Q2 pipeline_ORÇ_2009" xfId="1513"/>
    <cellStyle name="h_Q2 pipeline_ORÇ_2009 2" xfId="7148"/>
    <cellStyle name="h_Q2 pipeline_Pasta2" xfId="1514"/>
    <cellStyle name="h_Q2 pipeline_Pasta2 2" xfId="7149"/>
    <cellStyle name="h_vmatrix bb" xfId="1515"/>
    <cellStyle name="h_vmatrix bb_Q2 pipeline" xfId="1516"/>
    <cellStyle name="h_vmatrix bb_Q2 pipeline 2" xfId="7150"/>
    <cellStyle name="h_vmatrix bb_Q2 pipeline_Cópia de Modelo - Fluxo de Caixa Orcamento 09052009_V36_3" xfId="1517"/>
    <cellStyle name="h_vmatrix bb_Q2 pipeline_Cópia de Modelo - Fluxo de Caixa Orcamento 09052009_V36_3 2" xfId="7151"/>
    <cellStyle name="h_vmatrix bb_Q2 pipeline_Fluxo de Caixa Orcamento FINAL_13052009" xfId="1518"/>
    <cellStyle name="h_vmatrix bb_Q2 pipeline_Fluxo de Caixa Orcamento FINAL_13052009 2" xfId="7152"/>
    <cellStyle name="h_vmatrix bb_Q2 pipeline_FM_dummyV4" xfId="1519"/>
    <cellStyle name="h_vmatrix bb_Q2 pipeline_lalur" xfId="1520"/>
    <cellStyle name="h_vmatrix bb_Q2 pipeline_Leasing_V3" xfId="1521"/>
    <cellStyle name="h_vmatrix bb_Q2 pipeline_MODELO PDP III" xfId="1522"/>
    <cellStyle name="h_vmatrix bb_Q2 pipeline_ORÇ_2009" xfId="1523"/>
    <cellStyle name="h_vmatrix bb_Q2 pipeline_ORÇ_2009 2" xfId="7153"/>
    <cellStyle name="h_vmatrix bb_Q2 pipeline_Pasta2" xfId="1524"/>
    <cellStyle name="h_vmatrix bb_Q2 pipeline_Pasta2 2" xfId="7154"/>
    <cellStyle name="h1" xfId="1525"/>
    <cellStyle name="h2" xfId="1526"/>
    <cellStyle name="Hard Percent" xfId="1527"/>
    <cellStyle name="hat" xfId="1528"/>
    <cellStyle name="Head Tittle" xfId="1529"/>
    <cellStyle name="Header" xfId="1530"/>
    <cellStyle name="Header1" xfId="1531"/>
    <cellStyle name="Header2" xfId="1532"/>
    <cellStyle name="Header2 2" xfId="7155"/>
    <cellStyle name="Heading" xfId="1533"/>
    <cellStyle name="Heading 1" xfId="1534"/>
    <cellStyle name="Heading 1 2" xfId="1535"/>
    <cellStyle name="Heading 2" xfId="1536"/>
    <cellStyle name="Heading 2 2" xfId="1537"/>
    <cellStyle name="Heading 3" xfId="1538"/>
    <cellStyle name="Heading 3 2" xfId="1539"/>
    <cellStyle name="Heading 4" xfId="1540"/>
    <cellStyle name="Heading 4 2" xfId="1541"/>
    <cellStyle name="Heading No Underline" xfId="1542"/>
    <cellStyle name="Heading With Underline" xfId="1543"/>
    <cellStyle name="Heading_Book6" xfId="1544"/>
    <cellStyle name="Heading1" xfId="1545"/>
    <cellStyle name="Heading11Bold" xfId="1546"/>
    <cellStyle name="Heading11Bold 2" xfId="7156"/>
    <cellStyle name="Heading12Bold" xfId="1547"/>
    <cellStyle name="Heading12Bold 2" xfId="7157"/>
    <cellStyle name="Heading2" xfId="1548"/>
    <cellStyle name="Helv 10 Bold" xfId="1549"/>
    <cellStyle name="Helv 12 Bold" xfId="1550"/>
    <cellStyle name="Hidden" xfId="1551"/>
    <cellStyle name="Hiperlink 2" xfId="1552"/>
    <cellStyle name="Hiperlink 3" xfId="1553"/>
    <cellStyle name="Hiperlink Visitado 2" xfId="1554"/>
    <cellStyle name="HK$#,##0" xfId="1555"/>
    <cellStyle name="HK$#,##0.00" xfId="1556"/>
    <cellStyle name="ht" xfId="1557"/>
    <cellStyle name="Hyperli?k segui?o" xfId="1558"/>
    <cellStyle name="Hyperlink 2" xfId="1560"/>
    <cellStyle name="Hyperliᯮk segui᫤o" xfId="1559"/>
    <cellStyle name="Hyp᧥rlink_A᫬exandre" xfId="1561"/>
    <cellStyle name="Incorreto 2" xfId="33"/>
    <cellStyle name="Incorreto 3" xfId="7158"/>
    <cellStyle name="Incorreto 4" xfId="7159"/>
    <cellStyle name="Incorreto 5" xfId="6247"/>
    <cellStyle name="INCSTMT" xfId="1562"/>
    <cellStyle name="Indefinido" xfId="1563"/>
    <cellStyle name="indice" xfId="1564"/>
    <cellStyle name="Input" xfId="1565"/>
    <cellStyle name="Input %" xfId="1566"/>
    <cellStyle name="Input [yellow]" xfId="1567"/>
    <cellStyle name="Input [yellow] 2" xfId="1568"/>
    <cellStyle name="Input [yellow]_INFO" xfId="1569"/>
    <cellStyle name="Input 1" xfId="1570"/>
    <cellStyle name="Input 2" xfId="1571"/>
    <cellStyle name="Input 3" xfId="1572"/>
    <cellStyle name="Input 4" xfId="1573"/>
    <cellStyle name="Input 5" xfId="1574"/>
    <cellStyle name="Input Currency" xfId="1575"/>
    <cellStyle name="Input Currency 2" xfId="1576"/>
    <cellStyle name="Input Currency_INFO" xfId="1577"/>
    <cellStyle name="Input Date" xfId="1578"/>
    <cellStyle name="Input Date 2" xfId="1579"/>
    <cellStyle name="Input Fixed [0]" xfId="1580"/>
    <cellStyle name="Input Fixed [0] 2" xfId="1581"/>
    <cellStyle name="Input Normal" xfId="1582"/>
    <cellStyle name="Input Normal 2" xfId="1583"/>
    <cellStyle name="Input Normal_INFO" xfId="1584"/>
    <cellStyle name="Input Number" xfId="1585"/>
    <cellStyle name="Input Percent" xfId="1586"/>
    <cellStyle name="Input Percent [2]" xfId="1587"/>
    <cellStyle name="Input Percent [2] 2" xfId="1588"/>
    <cellStyle name="Input Percent [2]_INFO" xfId="1589"/>
    <cellStyle name="Input Percent 2" xfId="1590"/>
    <cellStyle name="Input Percent_~2144771" xfId="1591"/>
    <cellStyle name="Input Text" xfId="1592"/>
    <cellStyle name="Input Titles" xfId="1593"/>
    <cellStyle name="Input Titles 2" xfId="1594"/>
    <cellStyle name="Input_$cell" xfId="1595"/>
    <cellStyle name="InputBlueFont" xfId="1596"/>
    <cellStyle name="InputBlueFontLocked" xfId="1597"/>
    <cellStyle name="InputPct" xfId="1598"/>
    <cellStyle name="InputRedFont" xfId="1599"/>
    <cellStyle name="Integer" xfId="1600"/>
    <cellStyle name="Invisible" xfId="1601"/>
    <cellStyle name="Invisible 2" xfId="1602"/>
    <cellStyle name="Item" xfId="1603"/>
    <cellStyle name="ItemTypeClass" xfId="1604"/>
    <cellStyle name="ItemTypeClass 2" xfId="7160"/>
    <cellStyle name="Komma [0]_laroux" xfId="7161"/>
    <cellStyle name="Komma_laroux" xfId="7162"/>
    <cellStyle name="Lien hypertexte_PERSONAL" xfId="1605"/>
    <cellStyle name="Limpo" xfId="1606"/>
    <cellStyle name="Link" xfId="1607"/>
    <cellStyle name="Link 2" xfId="7163"/>
    <cellStyle name="Link Currency (0)" xfId="1608"/>
    <cellStyle name="Link Currency (0) 2" xfId="7164"/>
    <cellStyle name="Link Currency (2)" xfId="1609"/>
    <cellStyle name="Link Currency (2) 2" xfId="7165"/>
    <cellStyle name="Link Units (0)" xfId="1610"/>
    <cellStyle name="Link Units (0) 2" xfId="7166"/>
    <cellStyle name="Link Units (1)" xfId="1611"/>
    <cellStyle name="Link Units (1) 2" xfId="7167"/>
    <cellStyle name="Link Units (2)" xfId="1612"/>
    <cellStyle name="Link Units (2) 2" xfId="7168"/>
    <cellStyle name="Linked Cell" xfId="1613"/>
    <cellStyle name="Linked Cell 2" xfId="1614"/>
    <cellStyle name="Lite Shading" xfId="7169"/>
    <cellStyle name="lpt" xfId="1615"/>
    <cellStyle name="lspt" xfId="1616"/>
    <cellStyle name="m" xfId="1617"/>
    <cellStyle name="m_pearl_wacc" xfId="1618"/>
    <cellStyle name="MacroCode" xfId="1619"/>
    <cellStyle name="MainHead" xfId="1620"/>
    <cellStyle name="MatrizDados" xfId="1621"/>
    <cellStyle name="Meses" xfId="1622"/>
    <cellStyle name="Meses 2" xfId="7170"/>
    <cellStyle name="Mike" xfId="1623"/>
    <cellStyle name="Mike 2" xfId="1624"/>
    <cellStyle name="Millares [0]_10 AVERIAS MASIVAS + ANT" xfId="1625"/>
    <cellStyle name="Millares_10 AVERIAS MASIVAS + ANT" xfId="1626"/>
    <cellStyle name="Milliers [0]_!!!GO" xfId="7171"/>
    <cellStyle name="Milliers_!!!GO" xfId="7172"/>
    <cellStyle name="Moeda 2" xfId="1627"/>
    <cellStyle name="Moeda 3" xfId="7173"/>
    <cellStyle name="Moeda?[0]" xfId="1628"/>
    <cellStyle name="Moeda0" xfId="7174"/>
    <cellStyle name="Moeda0 2" xfId="7175"/>
    <cellStyle name="Moedaᦠ[0]" xfId="1629"/>
    <cellStyle name="Moneda [0]_10 AVERIAS MASIVAS + ANT" xfId="1630"/>
    <cellStyle name="Moneda_10 AVERIAS MASIVAS + ANT" xfId="1631"/>
    <cellStyle name="Monétaire [0]_!!!GO" xfId="7176"/>
    <cellStyle name="Monétaire_!!!GO" xfId="7177"/>
    <cellStyle name="Monetario" xfId="1632"/>
    <cellStyle name="Month" xfId="1633"/>
    <cellStyle name="Morgan" xfId="1634"/>
    <cellStyle name="movimentação" xfId="1635"/>
    <cellStyle name="mt" xfId="1636"/>
    <cellStyle name="mult" xfId="1637"/>
    <cellStyle name="Multiple" xfId="1638"/>
    <cellStyle name="n" xfId="1639"/>
    <cellStyle name="n_Q2 pipeline" xfId="1640"/>
    <cellStyle name="n_Q2 pipeline 2" xfId="7178"/>
    <cellStyle name="n_Q2 pipeline_Cópia de Modelo - Fluxo de Caixa Orcamento 09052009_V36_3" xfId="1641"/>
    <cellStyle name="n_Q2 pipeline_Cópia de Modelo - Fluxo de Caixa Orcamento 09052009_V36_3 2" xfId="7179"/>
    <cellStyle name="n_Q2 pipeline_Fluxo de Caixa Orcamento FINAL_13052009" xfId="1642"/>
    <cellStyle name="n_Q2 pipeline_Fluxo de Caixa Orcamento FINAL_13052009 2" xfId="7180"/>
    <cellStyle name="n_Q2 pipeline_FM_dummyV4" xfId="1643"/>
    <cellStyle name="n_Q2 pipeline_lalur" xfId="1644"/>
    <cellStyle name="n_Q2 pipeline_Leasing_V3" xfId="1645"/>
    <cellStyle name="n_Q2 pipeline_MODELO PDP III" xfId="1646"/>
    <cellStyle name="n_Q2 pipeline_ORÇ_2009" xfId="1647"/>
    <cellStyle name="n_Q2 pipeline_ORÇ_2009 2" xfId="7181"/>
    <cellStyle name="n_Q2 pipeline_Pasta2" xfId="1648"/>
    <cellStyle name="n_Q2 pipeline_Pasta2 2" xfId="7182"/>
    <cellStyle name="n0" xfId="1649"/>
    <cellStyle name="n1" xfId="1650"/>
    <cellStyle name="n2" xfId="1651"/>
    <cellStyle name="NA is zero" xfId="1652"/>
    <cellStyle name="NA is zero 2" xfId="1653"/>
    <cellStyle name="Names" xfId="1654"/>
    <cellStyle name="Names 2" xfId="7183"/>
    <cellStyle name="Neutra 2" xfId="34"/>
    <cellStyle name="Neutra 3" xfId="6236"/>
    <cellStyle name="Neutra 4" xfId="7184"/>
    <cellStyle name="Neutra 5" xfId="6248"/>
    <cellStyle name="Neutral" xfId="1655"/>
    <cellStyle name="Neutral 2" xfId="1656"/>
    <cellStyle name="New Times Roman" xfId="7185"/>
    <cellStyle name="no" xfId="1657"/>
    <cellStyle name="no dec" xfId="1658"/>
    <cellStyle name="NODEC" xfId="1659"/>
    <cellStyle name="Normal" xfId="0" builtinId="0"/>
    <cellStyle name="Normal - Bold" xfId="1660"/>
    <cellStyle name="Normal - Estilo1" xfId="7186"/>
    <cellStyle name="Normal - Estilo2" xfId="7187"/>
    <cellStyle name="Normal - Estilo3" xfId="7188"/>
    <cellStyle name="Normal - Estilo4" xfId="7189"/>
    <cellStyle name="Normal - Estilo5" xfId="7190"/>
    <cellStyle name="Normal - Estilo6" xfId="7191"/>
    <cellStyle name="Normal - Estilo7" xfId="7192"/>
    <cellStyle name="Normal - Estilo8" xfId="7193"/>
    <cellStyle name="Normal - Style1" xfId="1661"/>
    <cellStyle name="Normal - Style1 2" xfId="1662"/>
    <cellStyle name="Normal (12)" xfId="1663"/>
    <cellStyle name="Normal [0]" xfId="1664"/>
    <cellStyle name="Normal [0] 2" xfId="1665"/>
    <cellStyle name="Normal [1]" xfId="1666"/>
    <cellStyle name="Normal [1] 2" xfId="1667"/>
    <cellStyle name="Normal [2]" xfId="1668"/>
    <cellStyle name="Normal [2] 2" xfId="1669"/>
    <cellStyle name="Normal [3]" xfId="1670"/>
    <cellStyle name="Normal [3] 2" xfId="1671"/>
    <cellStyle name="Normal 10" xfId="1672"/>
    <cellStyle name="Normal 10 2" xfId="7194"/>
    <cellStyle name="Normal 10 2 2" xfId="7195"/>
    <cellStyle name="Normal 10 5 2" xfId="9390"/>
    <cellStyle name="Normal 10 5 2 2" xfId="9517"/>
    <cellStyle name="Normal 11" xfId="1673"/>
    <cellStyle name="Normal 12" xfId="1674"/>
    <cellStyle name="Normal 12 2" xfId="1675"/>
    <cellStyle name="Normal 12 2 2" xfId="1676"/>
    <cellStyle name="Normal 12 2 2 2" xfId="9518"/>
    <cellStyle name="Normal 12 2 3" xfId="9519"/>
    <cellStyle name="Normal 12 3" xfId="1677"/>
    <cellStyle name="Normal 12 3 2" xfId="9520"/>
    <cellStyle name="Normal 12 4" xfId="9521"/>
    <cellStyle name="Normal 13" xfId="1678"/>
    <cellStyle name="Normal 13 2" xfId="1679"/>
    <cellStyle name="Normal 13 2 2" xfId="1680"/>
    <cellStyle name="Normal 13 2 2 2" xfId="9522"/>
    <cellStyle name="Normal 13 2 3" xfId="9523"/>
    <cellStyle name="Normal 13 3" xfId="1681"/>
    <cellStyle name="Normal 13 3 2" xfId="9524"/>
    <cellStyle name="Normal 13 4" xfId="9525"/>
    <cellStyle name="Normal 14" xfId="1682"/>
    <cellStyle name="Normal 14 2" xfId="1683"/>
    <cellStyle name="Normal 14 2 2" xfId="1684"/>
    <cellStyle name="Normal 14 2 2 2" xfId="9526"/>
    <cellStyle name="Normal 14 2 3" xfId="9527"/>
    <cellStyle name="Normal 14 3" xfId="1685"/>
    <cellStyle name="Normal 14 3 2" xfId="9528"/>
    <cellStyle name="Normal 14 4" xfId="7196"/>
    <cellStyle name="Normal 14 5" xfId="9529"/>
    <cellStyle name="Normal 15" xfId="1686"/>
    <cellStyle name="Normal 15 2" xfId="7197"/>
    <cellStyle name="Normal 16" xfId="1687"/>
    <cellStyle name="Normal 16 2" xfId="1688"/>
    <cellStyle name="Normal 16 2 2" xfId="1689"/>
    <cellStyle name="Normal 16 2 2 2" xfId="9530"/>
    <cellStyle name="Normal 16 2 3" xfId="9531"/>
    <cellStyle name="Normal 16 3" xfId="1690"/>
    <cellStyle name="Normal 16 3 2" xfId="9532"/>
    <cellStyle name="Normal 16 4" xfId="9533"/>
    <cellStyle name="Normal 17" xfId="1691"/>
    <cellStyle name="Normal 17 2" xfId="7198"/>
    <cellStyle name="Normal 17 3" xfId="9389"/>
    <cellStyle name="Normal 17 3 2" xfId="9394"/>
    <cellStyle name="Normal 18" xfId="1692"/>
    <cellStyle name="Normal 18 2" xfId="1693"/>
    <cellStyle name="Normal 18 2 2" xfId="1694"/>
    <cellStyle name="Normal 18 2 2 2" xfId="9534"/>
    <cellStyle name="Normal 18 2 3" xfId="9535"/>
    <cellStyle name="Normal 18 3" xfId="1695"/>
    <cellStyle name="Normal 18 3 2" xfId="9536"/>
    <cellStyle name="Normal 18 4" xfId="9537"/>
    <cellStyle name="Normal 19" xfId="1696"/>
    <cellStyle name="Normal 19 2" xfId="1697"/>
    <cellStyle name="Normal 19 2 2" xfId="1698"/>
    <cellStyle name="Normal 19 2 2 2" xfId="1699"/>
    <cellStyle name="Normal 19 2 2 2 2" xfId="9538"/>
    <cellStyle name="Normal 19 2 2 3" xfId="9539"/>
    <cellStyle name="Normal 19 2 3" xfId="1700"/>
    <cellStyle name="Normal 19 2 3 2" xfId="9540"/>
    <cellStyle name="Normal 19 2 4" xfId="9541"/>
    <cellStyle name="Normal 19 3" xfId="1701"/>
    <cellStyle name="Normal 19 3 2" xfId="1702"/>
    <cellStyle name="Normal 19 3 2 2" xfId="9542"/>
    <cellStyle name="Normal 19 3 3" xfId="9543"/>
    <cellStyle name="Normal 19 4" xfId="1703"/>
    <cellStyle name="Normal 19 4 2" xfId="9544"/>
    <cellStyle name="Normal 19 5" xfId="9545"/>
    <cellStyle name="Normal 2" xfId="35"/>
    <cellStyle name="Normal 2 12" xfId="1704"/>
    <cellStyle name="Normal 2 2" xfId="73"/>
    <cellStyle name="Normal 2 2 2" xfId="1705"/>
    <cellStyle name="Normal 2 2 2 2" xfId="1706"/>
    <cellStyle name="Normal 2 2 2 2 2" xfId="9546"/>
    <cellStyle name="Normal 2 2 2 3" xfId="6230"/>
    <cellStyle name="Normal 2 2 2 4" xfId="9547"/>
    <cellStyle name="Normal 2 2 3" xfId="6285"/>
    <cellStyle name="Normal 2 3" xfId="1707"/>
    <cellStyle name="Normal 2 3 2" xfId="1708"/>
    <cellStyle name="Normal 2 4" xfId="1709"/>
    <cellStyle name="Normal 2 5" xfId="1710"/>
    <cellStyle name="Normal 2 5 2" xfId="1711"/>
    <cellStyle name="Normal 2 5 2 2" xfId="1712"/>
    <cellStyle name="Normal 2 5 2 2 2" xfId="9548"/>
    <cellStyle name="Normal 2 5 2 3" xfId="9549"/>
    <cellStyle name="Normal 2 5 3" xfId="1713"/>
    <cellStyle name="Normal 2 5 3 2" xfId="9550"/>
    <cellStyle name="Normal 2 5 4" xfId="9551"/>
    <cellStyle name="Normal 2 6" xfId="1714"/>
    <cellStyle name="Normal 2 6 5" xfId="9393"/>
    <cellStyle name="Normal 2 7" xfId="9387"/>
    <cellStyle name="Normal 2 7 2" xfId="9388"/>
    <cellStyle name="Normal 2 7 2 2" xfId="9552"/>
    <cellStyle name="Normal 2 7 3" xfId="9553"/>
    <cellStyle name="Normal 2 8" xfId="70"/>
    <cellStyle name="Normal 2 9" xfId="61"/>
    <cellStyle name="Normal 20" xfId="1715"/>
    <cellStyle name="Normal 20 2" xfId="1716"/>
    <cellStyle name="Normal 20 2 2" xfId="1717"/>
    <cellStyle name="Normal 20 2 2 2" xfId="9554"/>
    <cellStyle name="Normal 20 2 3" xfId="9555"/>
    <cellStyle name="Normal 20 3" xfId="1718"/>
    <cellStyle name="Normal 20 3 2" xfId="9556"/>
    <cellStyle name="Normal 20 4" xfId="9557"/>
    <cellStyle name="Normal 21" xfId="1719"/>
    <cellStyle name="Normal 21 2" xfId="1720"/>
    <cellStyle name="Normal 21 2 2" xfId="1721"/>
    <cellStyle name="Normal 21 2 2 2" xfId="9558"/>
    <cellStyle name="Normal 21 2 3" xfId="9559"/>
    <cellStyle name="Normal 21 3" xfId="1722"/>
    <cellStyle name="Normal 21 3 2" xfId="9560"/>
    <cellStyle name="Normal 21 4" xfId="9561"/>
    <cellStyle name="Normal 22" xfId="1723"/>
    <cellStyle name="Normal 22 2" xfId="1724"/>
    <cellStyle name="Normal 22 2 2" xfId="1725"/>
    <cellStyle name="Normal 22 2 2 2" xfId="9562"/>
    <cellStyle name="Normal 22 2 3" xfId="9563"/>
    <cellStyle name="Normal 22 3" xfId="1726"/>
    <cellStyle name="Normal 22 3 2" xfId="9564"/>
    <cellStyle name="Normal 22 4" xfId="9565"/>
    <cellStyle name="Normal 23" xfId="1727"/>
    <cellStyle name="Normal 23 2" xfId="1728"/>
    <cellStyle name="Normal 23 2 2" xfId="1729"/>
    <cellStyle name="Normal 23 2 2 2" xfId="9566"/>
    <cellStyle name="Normal 23 2 3" xfId="9567"/>
    <cellStyle name="Normal 23 3" xfId="1730"/>
    <cellStyle name="Normal 23 3 2" xfId="9568"/>
    <cellStyle name="Normal 23 4" xfId="9569"/>
    <cellStyle name="Normal 24" xfId="1731"/>
    <cellStyle name="Normal 24 2" xfId="1732"/>
    <cellStyle name="Normal 24 2 2" xfId="1733"/>
    <cellStyle name="Normal 24 2 2 2" xfId="9570"/>
    <cellStyle name="Normal 24 2 3" xfId="9571"/>
    <cellStyle name="Normal 24 3" xfId="1734"/>
    <cellStyle name="Normal 24 3 2" xfId="9572"/>
    <cellStyle name="Normal 24 4" xfId="9573"/>
    <cellStyle name="Normal 25" xfId="1735"/>
    <cellStyle name="Normal 25 2" xfId="1736"/>
    <cellStyle name="Normal 25 2 2" xfId="1737"/>
    <cellStyle name="Normal 25 2 2 2" xfId="9574"/>
    <cellStyle name="Normal 25 2 3" xfId="9575"/>
    <cellStyle name="Normal 25 3" xfId="1738"/>
    <cellStyle name="Normal 25 3 2" xfId="9576"/>
    <cellStyle name="Normal 25 4" xfId="9577"/>
    <cellStyle name="Normal 26" xfId="1739"/>
    <cellStyle name="Normal 26 2" xfId="1740"/>
    <cellStyle name="Normal 26 2 2" xfId="9578"/>
    <cellStyle name="Normal 26 3" xfId="9579"/>
    <cellStyle name="Normal 27" xfId="1741"/>
    <cellStyle name="Normal 27 2" xfId="1742"/>
    <cellStyle name="Normal 27 2 2" xfId="9580"/>
    <cellStyle name="Normal 27 3" xfId="9581"/>
    <cellStyle name="Normal 28" xfId="1743"/>
    <cellStyle name="Normal 28 2" xfId="1744"/>
    <cellStyle name="Normal 28 2 2" xfId="1745"/>
    <cellStyle name="Normal 28 2 2 2" xfId="9582"/>
    <cellStyle name="Normal 28 2 3" xfId="9583"/>
    <cellStyle name="Normal 28 3" xfId="1746"/>
    <cellStyle name="Normal 28 3 2" xfId="9584"/>
    <cellStyle name="Normal 28 4" xfId="9585"/>
    <cellStyle name="Normal 29" xfId="1747"/>
    <cellStyle name="Normal 29 2" xfId="1748"/>
    <cellStyle name="Normal 29 2 2" xfId="9586"/>
    <cellStyle name="Normal 29 3" xfId="9587"/>
    <cellStyle name="Normal 3" xfId="3"/>
    <cellStyle name="Normal 3 2" xfId="1750"/>
    <cellStyle name="Normal 3 2 2" xfId="1751"/>
    <cellStyle name="Normal 3 2 2 2" xfId="1752"/>
    <cellStyle name="Normal 3 2 2 2 2" xfId="1753"/>
    <cellStyle name="Normal 3 2 2 2 2 2" xfId="9588"/>
    <cellStyle name="Normal 3 2 2 2 3" xfId="9589"/>
    <cellStyle name="Normal 3 2 2 3" xfId="1754"/>
    <cellStyle name="Normal 3 2 2 3 2" xfId="9590"/>
    <cellStyle name="Normal 3 2 2 4" xfId="9591"/>
    <cellStyle name="Normal 3 3" xfId="1755"/>
    <cellStyle name="Normal 3 4" xfId="1756"/>
    <cellStyle name="Normal 3 4 2" xfId="1757"/>
    <cellStyle name="Normal 3 4 2 2" xfId="9592"/>
    <cellStyle name="Normal 3 4 3" xfId="9593"/>
    <cellStyle name="Normal 3 5" xfId="1758"/>
    <cellStyle name="Normal 3 5 2" xfId="9594"/>
    <cellStyle name="Normal 3 6" xfId="1749"/>
    <cellStyle name="Normal 3 6 2" xfId="9595"/>
    <cellStyle name="Normal 3__Posição Hedge USD OIL" xfId="7199"/>
    <cellStyle name="Normal 30" xfId="1759"/>
    <cellStyle name="Normal 31" xfId="1760"/>
    <cellStyle name="Normal 32" xfId="1761"/>
    <cellStyle name="Normal 33" xfId="1762"/>
    <cellStyle name="Normal 34" xfId="1763"/>
    <cellStyle name="Normal 35" xfId="1764"/>
    <cellStyle name="Normal 36" xfId="1765"/>
    <cellStyle name="Normal 37" xfId="1766"/>
    <cellStyle name="Normal 38" xfId="1767"/>
    <cellStyle name="Normal 39" xfId="1768"/>
    <cellStyle name="Normal 4" xfId="36"/>
    <cellStyle name="Normal 4 2" xfId="1770"/>
    <cellStyle name="Normal 4 3" xfId="7200"/>
    <cellStyle name="Normal 4 4" xfId="1769"/>
    <cellStyle name="Normal 4 4 2" xfId="9596"/>
    <cellStyle name="Normal 4 5" xfId="62"/>
    <cellStyle name="Normal 40" xfId="1771"/>
    <cellStyle name="Normal 41" xfId="1772"/>
    <cellStyle name="Normal 42" xfId="1773"/>
    <cellStyle name="Normal 42 2" xfId="1774"/>
    <cellStyle name="Normal 42 2 2" xfId="9597"/>
    <cellStyle name="Normal 42 3" xfId="9598"/>
    <cellStyle name="Normal 43" xfId="1775"/>
    <cellStyle name="Normal 43 2" xfId="1776"/>
    <cellStyle name="Normal 43 2 2" xfId="9599"/>
    <cellStyle name="Normal 43 3" xfId="9600"/>
    <cellStyle name="Normal 44" xfId="1777"/>
    <cellStyle name="Normal 44 2" xfId="1778"/>
    <cellStyle name="Normal 44 2 2" xfId="9601"/>
    <cellStyle name="Normal 44 3" xfId="9602"/>
    <cellStyle name="Normal 45" xfId="1779"/>
    <cellStyle name="Normal 45 2" xfId="1780"/>
    <cellStyle name="Normal 45 2 2" xfId="9603"/>
    <cellStyle name="Normal 45 3" xfId="9604"/>
    <cellStyle name="Normal 46" xfId="1781"/>
    <cellStyle name="Normal 47" xfId="1782"/>
    <cellStyle name="Normal 48" xfId="1783"/>
    <cellStyle name="Normal 49" xfId="1784"/>
    <cellStyle name="Normal 49 2" xfId="9605"/>
    <cellStyle name="Normal 5" xfId="58"/>
    <cellStyle name="Normal 5 2" xfId="1786"/>
    <cellStyle name="Normal 5 3" xfId="1787"/>
    <cellStyle name="Normal 5 4" xfId="1785"/>
    <cellStyle name="Normal 50" xfId="1788"/>
    <cellStyle name="Normal 50 2" xfId="9606"/>
    <cellStyle name="Normal 51" xfId="1789"/>
    <cellStyle name="Normal 51 2" xfId="9607"/>
    <cellStyle name="Normal 52" xfId="1790"/>
    <cellStyle name="Normal 53" xfId="1791"/>
    <cellStyle name="Normal 54" xfId="1792"/>
    <cellStyle name="Normal 55" xfId="6225"/>
    <cellStyle name="Normal 56" xfId="6226"/>
    <cellStyle name="Normal 57" xfId="6283"/>
    <cellStyle name="Normal 58" xfId="6286"/>
    <cellStyle name="Normal 59" xfId="6287"/>
    <cellStyle name="Normal 6" xfId="37"/>
    <cellStyle name="Normal 6 2" xfId="1794"/>
    <cellStyle name="Normal 6 2 2" xfId="9494"/>
    <cellStyle name="Normal 6 3" xfId="1795"/>
    <cellStyle name="Normal 6 4" xfId="1793"/>
    <cellStyle name="Normal 6 5" xfId="63"/>
    <cellStyle name="Normal 60" xfId="6288"/>
    <cellStyle name="Normal 61" xfId="6289"/>
    <cellStyle name="Normal 62" xfId="6290"/>
    <cellStyle name="Normal 63" xfId="9386"/>
    <cellStyle name="Normal 64" xfId="69"/>
    <cellStyle name="Normal 64 2" xfId="9608"/>
    <cellStyle name="Normal 65" xfId="6018"/>
    <cellStyle name="Normal 66" xfId="57"/>
    <cellStyle name="Normal 66 2" xfId="9609"/>
    <cellStyle name="Normal 7" xfId="1796"/>
    <cellStyle name="Normal 7 2" xfId="1797"/>
    <cellStyle name="Normal 7 2 2" xfId="7201"/>
    <cellStyle name="Normal 7 3" xfId="6229"/>
    <cellStyle name="Normal 8" xfId="38"/>
    <cellStyle name="Normal 8 2" xfId="1799"/>
    <cellStyle name="Normal 8 2 2" xfId="9495"/>
    <cellStyle name="Normal 8 2 2 2" xfId="9610"/>
    <cellStyle name="Normal 8 2 3" xfId="9498"/>
    <cellStyle name="Normal 8 2 3 2" xfId="9611"/>
    <cellStyle name="Normal 8 3" xfId="7202"/>
    <cellStyle name="Normal 8 3 2" xfId="9612"/>
    <cellStyle name="Normal 8 4" xfId="1798"/>
    <cellStyle name="Normal 8 5" xfId="64"/>
    <cellStyle name="Normal 8 5 2" xfId="9613"/>
    <cellStyle name="Normal 8 6" xfId="9493"/>
    <cellStyle name="Normal 8 6 2" xfId="9614"/>
    <cellStyle name="Normal 8 7" xfId="9497"/>
    <cellStyle name="Normal 8 7 2" xfId="9615"/>
    <cellStyle name="Normal 8 8" xfId="9616"/>
    <cellStyle name="Normal 9" xfId="1800"/>
    <cellStyle name="Normal 9 2" xfId="7203"/>
    <cellStyle name="Normal 9 3" xfId="7204"/>
    <cellStyle name="Normal 9 3 2" xfId="9617"/>
    <cellStyle name="Normal Bold" xfId="1801"/>
    <cellStyle name="Normal Bold 2" xfId="1802"/>
    <cellStyle name="Normal Pct" xfId="1803"/>
    <cellStyle name="Normal Pct 2" xfId="1804"/>
    <cellStyle name="Normal Small" xfId="1805"/>
    <cellStyle name="normal1" xfId="1806"/>
    <cellStyle name="normal1 2" xfId="7205"/>
    <cellStyle name="Normal10pt" xfId="1807"/>
    <cellStyle name="Normal2" xfId="1808"/>
    <cellStyle name="Normal9pt" xfId="1809"/>
    <cellStyle name="Normal9pt 2" xfId="7206"/>
    <cellStyle name="NormalBold" xfId="1810"/>
    <cellStyle name="NormalBold 2" xfId="1811"/>
    <cellStyle name="NormalGB" xfId="1812"/>
    <cellStyle name="Normal-HelBold" xfId="1813"/>
    <cellStyle name="Normal-HelBold 2" xfId="1814"/>
    <cellStyle name="Normal-HelUnderline" xfId="1815"/>
    <cellStyle name="Normal-HelUnderline 2" xfId="1816"/>
    <cellStyle name="Normal-Helvetica" xfId="1817"/>
    <cellStyle name="Normal-Helvetica 2" xfId="1818"/>
    <cellStyle name="NormalInput" xfId="1819"/>
    <cellStyle name="Normalny_laroux" xfId="1820"/>
    <cellStyle name="Nosso" xfId="7207"/>
    <cellStyle name="Nota 2" xfId="39"/>
    <cellStyle name="Nota 2 2" xfId="7208"/>
    <cellStyle name="Nota 2 2 2" xfId="7209"/>
    <cellStyle name="Nota 2 3" xfId="7210"/>
    <cellStyle name="Nota 2 4" xfId="7211"/>
    <cellStyle name="Nota 2 5" xfId="1821"/>
    <cellStyle name="Nota 3" xfId="6237"/>
    <cellStyle name="Nota 3 2" xfId="7212"/>
    <cellStyle name="Nota 3 3" xfId="7213"/>
    <cellStyle name="Nota 4" xfId="7214"/>
    <cellStyle name="Nota 4 2" xfId="7215"/>
    <cellStyle name="Nota 5" xfId="6255"/>
    <cellStyle name="Nota 5 2" xfId="9618"/>
    <cellStyle name="Note" xfId="1822"/>
    <cellStyle name="Note 2" xfId="1823"/>
    <cellStyle name="Note 2 2" xfId="7216"/>
    <cellStyle name="Note 3" xfId="7217"/>
    <cellStyle name="NPPESalesPct" xfId="1824"/>
    <cellStyle name="NPPESalesPct 2" xfId="1825"/>
    <cellStyle name="Num_Normal" xfId="1826"/>
    <cellStyle name="Number0" xfId="1827"/>
    <cellStyle name="Number1" xfId="1828"/>
    <cellStyle name="Number1-" xfId="1829"/>
    <cellStyle name="Number1_Q2 pipeline" xfId="1830"/>
    <cellStyle name="Number1-_Q2 pipeline" xfId="1831"/>
    <cellStyle name="Number1_Q2 pipeline 10" xfId="7218"/>
    <cellStyle name="Number1-_Q2 pipeline 10" xfId="7219"/>
    <cellStyle name="Number1_Q2 pipeline 11" xfId="7220"/>
    <cellStyle name="Number1-_Q2 pipeline 11" xfId="7221"/>
    <cellStyle name="Number1_Q2 pipeline 2" xfId="7222"/>
    <cellStyle name="Number1-_Q2 pipeline 2" xfId="7223"/>
    <cellStyle name="Number1_Q2 pipeline 3" xfId="7224"/>
    <cellStyle name="Number1-_Q2 pipeline 3" xfId="7225"/>
    <cellStyle name="Number1_Q2 pipeline 4" xfId="7226"/>
    <cellStyle name="Number1-_Q2 pipeline 4" xfId="7227"/>
    <cellStyle name="Number1_Q2 pipeline 5" xfId="7228"/>
    <cellStyle name="Number1-_Q2 pipeline 5" xfId="7229"/>
    <cellStyle name="Number1_Q2 pipeline 6" xfId="7230"/>
    <cellStyle name="Number1-_Q2 pipeline 6" xfId="7231"/>
    <cellStyle name="Number1_Q2 pipeline 7" xfId="7232"/>
    <cellStyle name="Number1-_Q2 pipeline 7" xfId="7233"/>
    <cellStyle name="Number1_Q2 pipeline 8" xfId="7234"/>
    <cellStyle name="Number1-_Q2 pipeline 8" xfId="7235"/>
    <cellStyle name="Number1_Q2 pipeline 9" xfId="7236"/>
    <cellStyle name="Number1-_Q2 pipeline 9" xfId="7237"/>
    <cellStyle name="Number1_Q2 pipeline_Cópia de Modelo - Fluxo de Caixa Orcamento 09052009_V36_3" xfId="1832"/>
    <cellStyle name="Number1-_Q2 pipeline_Cópia de Modelo - Fluxo de Caixa Orcamento 09052009_V36_3" xfId="1833"/>
    <cellStyle name="Number1_Q2 pipeline_Cópia de Modelo - Fluxo de Caixa Orcamento 09052009_V36_3 10" xfId="7238"/>
    <cellStyle name="Number1-_Q2 pipeline_Cópia de Modelo - Fluxo de Caixa Orcamento 09052009_V36_3 10" xfId="7239"/>
    <cellStyle name="Number1_Q2 pipeline_Cópia de Modelo - Fluxo de Caixa Orcamento 09052009_V36_3 11" xfId="7240"/>
    <cellStyle name="Number1-_Q2 pipeline_Cópia de Modelo - Fluxo de Caixa Orcamento 09052009_V36_3 11" xfId="7241"/>
    <cellStyle name="Number1_Q2 pipeline_Cópia de Modelo - Fluxo de Caixa Orcamento 09052009_V36_3 2" xfId="7242"/>
    <cellStyle name="Number1-_Q2 pipeline_Cópia de Modelo - Fluxo de Caixa Orcamento 09052009_V36_3 2" xfId="7243"/>
    <cellStyle name="Number1_Q2 pipeline_Cópia de Modelo - Fluxo de Caixa Orcamento 09052009_V36_3 3" xfId="7244"/>
    <cellStyle name="Number1-_Q2 pipeline_Cópia de Modelo - Fluxo de Caixa Orcamento 09052009_V36_3 3" xfId="7245"/>
    <cellStyle name="Number1_Q2 pipeline_Cópia de Modelo - Fluxo de Caixa Orcamento 09052009_V36_3 4" xfId="7246"/>
    <cellStyle name="Number1-_Q2 pipeline_Cópia de Modelo - Fluxo de Caixa Orcamento 09052009_V36_3 4" xfId="7247"/>
    <cellStyle name="Number1_Q2 pipeline_Cópia de Modelo - Fluxo de Caixa Orcamento 09052009_V36_3 5" xfId="7248"/>
    <cellStyle name="Number1-_Q2 pipeline_Cópia de Modelo - Fluxo de Caixa Orcamento 09052009_V36_3 5" xfId="7249"/>
    <cellStyle name="Number1_Q2 pipeline_Cópia de Modelo - Fluxo de Caixa Orcamento 09052009_V36_3 6" xfId="7250"/>
    <cellStyle name="Number1-_Q2 pipeline_Cópia de Modelo - Fluxo de Caixa Orcamento 09052009_V36_3 6" xfId="7251"/>
    <cellStyle name="Number1_Q2 pipeline_Cópia de Modelo - Fluxo de Caixa Orcamento 09052009_V36_3 7" xfId="7252"/>
    <cellStyle name="Number1-_Q2 pipeline_Cópia de Modelo - Fluxo de Caixa Orcamento 09052009_V36_3 7" xfId="7253"/>
    <cellStyle name="Number1_Q2 pipeline_Cópia de Modelo - Fluxo de Caixa Orcamento 09052009_V36_3 8" xfId="7254"/>
    <cellStyle name="Number1-_Q2 pipeline_Cópia de Modelo - Fluxo de Caixa Orcamento 09052009_V36_3 8" xfId="7255"/>
    <cellStyle name="Number1_Q2 pipeline_Cópia de Modelo - Fluxo de Caixa Orcamento 09052009_V36_3 9" xfId="7256"/>
    <cellStyle name="Number1-_Q2 pipeline_Cópia de Modelo - Fluxo de Caixa Orcamento 09052009_V36_3 9" xfId="7257"/>
    <cellStyle name="Number1_Q2 pipeline_Fluxo de Caixa Orcamento FINAL_13052009" xfId="1834"/>
    <cellStyle name="Number1-_Q2 pipeline_Fluxo de Caixa Orcamento FINAL_13052009" xfId="1835"/>
    <cellStyle name="Number1_Q2 pipeline_Fluxo de Caixa Orcamento FINAL_13052009 10" xfId="7258"/>
    <cellStyle name="Number1-_Q2 pipeline_Fluxo de Caixa Orcamento FINAL_13052009 10" xfId="7259"/>
    <cellStyle name="Number1_Q2 pipeline_Fluxo de Caixa Orcamento FINAL_13052009 11" xfId="7260"/>
    <cellStyle name="Number1-_Q2 pipeline_Fluxo de Caixa Orcamento FINAL_13052009 11" xfId="7261"/>
    <cellStyle name="Number1_Q2 pipeline_Fluxo de Caixa Orcamento FINAL_13052009 2" xfId="7262"/>
    <cellStyle name="Number1-_Q2 pipeline_Fluxo de Caixa Orcamento FINAL_13052009 2" xfId="7263"/>
    <cellStyle name="Number1_Q2 pipeline_Fluxo de Caixa Orcamento FINAL_13052009 3" xfId="7264"/>
    <cellStyle name="Number1-_Q2 pipeline_Fluxo de Caixa Orcamento FINAL_13052009 3" xfId="7265"/>
    <cellStyle name="Number1_Q2 pipeline_Fluxo de Caixa Orcamento FINAL_13052009 4" xfId="7266"/>
    <cellStyle name="Number1-_Q2 pipeline_Fluxo de Caixa Orcamento FINAL_13052009 4" xfId="7267"/>
    <cellStyle name="Number1_Q2 pipeline_Fluxo de Caixa Orcamento FINAL_13052009 5" xfId="7268"/>
    <cellStyle name="Number1-_Q2 pipeline_Fluxo de Caixa Orcamento FINAL_13052009 5" xfId="7269"/>
    <cellStyle name="Number1_Q2 pipeline_Fluxo de Caixa Orcamento FINAL_13052009 6" xfId="7270"/>
    <cellStyle name="Number1-_Q2 pipeline_Fluxo de Caixa Orcamento FINAL_13052009 6" xfId="7271"/>
    <cellStyle name="Number1_Q2 pipeline_Fluxo de Caixa Orcamento FINAL_13052009 7" xfId="7272"/>
    <cellStyle name="Number1-_Q2 pipeline_Fluxo de Caixa Orcamento FINAL_13052009 7" xfId="7273"/>
    <cellStyle name="Number1_Q2 pipeline_Fluxo de Caixa Orcamento FINAL_13052009 8" xfId="7274"/>
    <cellStyle name="Number1-_Q2 pipeline_Fluxo de Caixa Orcamento FINAL_13052009 8" xfId="7275"/>
    <cellStyle name="Number1_Q2 pipeline_Fluxo de Caixa Orcamento FINAL_13052009 9" xfId="7276"/>
    <cellStyle name="Number1-_Q2 pipeline_Fluxo de Caixa Orcamento FINAL_13052009 9" xfId="7277"/>
    <cellStyle name="Number1_Q2 pipeline_FM_dummyV4" xfId="1836"/>
    <cellStyle name="Number1-_Q2 pipeline_FM_dummyV4" xfId="1837"/>
    <cellStyle name="Number1_Q2 pipeline_lalur" xfId="1838"/>
    <cellStyle name="Number1-_Q2 pipeline_lalur" xfId="1839"/>
    <cellStyle name="Number1_Q2 pipeline_Leasing_V3" xfId="1840"/>
    <cellStyle name="Number1-_Q2 pipeline_Leasing_V3" xfId="1841"/>
    <cellStyle name="Number1_Q2 pipeline_MODELO PDP III" xfId="1842"/>
    <cellStyle name="Number1-_Q2 pipeline_MODELO PDP III" xfId="1843"/>
    <cellStyle name="Number1_Q2 pipeline_ORÇ_2009" xfId="1844"/>
    <cellStyle name="Number1-_Q2 pipeline_ORÇ_2009" xfId="1845"/>
    <cellStyle name="Number1_Q2 pipeline_ORÇ_2009 10" xfId="7278"/>
    <cellStyle name="Number1-_Q2 pipeline_ORÇ_2009 10" xfId="7279"/>
    <cellStyle name="Number1_Q2 pipeline_ORÇ_2009 11" xfId="7280"/>
    <cellStyle name="Number1-_Q2 pipeline_ORÇ_2009 11" xfId="7281"/>
    <cellStyle name="Number1_Q2 pipeline_ORÇ_2009 2" xfId="7282"/>
    <cellStyle name="Number1-_Q2 pipeline_ORÇ_2009 2" xfId="7283"/>
    <cellStyle name="Number1_Q2 pipeline_ORÇ_2009 3" xfId="7284"/>
    <cellStyle name="Number1-_Q2 pipeline_ORÇ_2009 3" xfId="7285"/>
    <cellStyle name="Number1_Q2 pipeline_ORÇ_2009 4" xfId="7286"/>
    <cellStyle name="Number1-_Q2 pipeline_ORÇ_2009 4" xfId="7287"/>
    <cellStyle name="Number1_Q2 pipeline_ORÇ_2009 5" xfId="7288"/>
    <cellStyle name="Number1-_Q2 pipeline_ORÇ_2009 5" xfId="7289"/>
    <cellStyle name="Number1_Q2 pipeline_ORÇ_2009 6" xfId="7290"/>
    <cellStyle name="Number1-_Q2 pipeline_ORÇ_2009 6" xfId="7291"/>
    <cellStyle name="Number1_Q2 pipeline_ORÇ_2009 7" xfId="7292"/>
    <cellStyle name="Number1-_Q2 pipeline_ORÇ_2009 7" xfId="7293"/>
    <cellStyle name="Number1_Q2 pipeline_ORÇ_2009 8" xfId="7294"/>
    <cellStyle name="Number1-_Q2 pipeline_ORÇ_2009 8" xfId="7295"/>
    <cellStyle name="Number1_Q2 pipeline_ORÇ_2009 9" xfId="7296"/>
    <cellStyle name="Number1-_Q2 pipeline_ORÇ_2009 9" xfId="7297"/>
    <cellStyle name="Number1_Q2 pipeline_Pasta2" xfId="1846"/>
    <cellStyle name="Number1-_Q2 pipeline_Pasta2" xfId="1847"/>
    <cellStyle name="Number1_Q2 pipeline_Pasta2 10" xfId="7298"/>
    <cellStyle name="Number1-_Q2 pipeline_Pasta2 10" xfId="7299"/>
    <cellStyle name="Number1_Q2 pipeline_Pasta2 11" xfId="7300"/>
    <cellStyle name="Number1-_Q2 pipeline_Pasta2 11" xfId="7301"/>
    <cellStyle name="Number1_Q2 pipeline_Pasta2 2" xfId="7302"/>
    <cellStyle name="Number1-_Q2 pipeline_Pasta2 2" xfId="7303"/>
    <cellStyle name="Number1_Q2 pipeline_Pasta2 3" xfId="7304"/>
    <cellStyle name="Number1-_Q2 pipeline_Pasta2 3" xfId="7305"/>
    <cellStyle name="Number1_Q2 pipeline_Pasta2 4" xfId="7306"/>
    <cellStyle name="Number1-_Q2 pipeline_Pasta2 4" xfId="7307"/>
    <cellStyle name="Number1_Q2 pipeline_Pasta2 5" xfId="7308"/>
    <cellStyle name="Number1-_Q2 pipeline_Pasta2 5" xfId="7309"/>
    <cellStyle name="Number1_Q2 pipeline_Pasta2 6" xfId="7310"/>
    <cellStyle name="Number1-_Q2 pipeline_Pasta2 6" xfId="7311"/>
    <cellStyle name="Number1_Q2 pipeline_Pasta2 7" xfId="7312"/>
    <cellStyle name="Number1-_Q2 pipeline_Pasta2 7" xfId="7313"/>
    <cellStyle name="Number1_Q2 pipeline_Pasta2 8" xfId="7314"/>
    <cellStyle name="Number1-_Q2 pipeline_Pasta2 8" xfId="7315"/>
    <cellStyle name="Number1_Q2 pipeline_Pasta2 9" xfId="7316"/>
    <cellStyle name="Number1-_Q2 pipeline_Pasta2 9" xfId="7317"/>
    <cellStyle name="Number2" xfId="1848"/>
    <cellStyle name="Number2-" xfId="1849"/>
    <cellStyle name="Number2_Comparativo VP FIN v1_So 2008" xfId="7318"/>
    <cellStyle name="Number2-_Q2 pipeline" xfId="1850"/>
    <cellStyle name="NWI%S" xfId="1851"/>
    <cellStyle name="NWI%S 2" xfId="1852"/>
    <cellStyle name="Œ…‹æØ‚è [0.00]_GE 3 MINIMUM" xfId="1853"/>
    <cellStyle name="Œ…‹æØ‚è_GE 3 MINIMUM" xfId="1854"/>
    <cellStyle name="orh" xfId="7319"/>
    <cellStyle name="outh America" xfId="1855"/>
    <cellStyle name="Output" xfId="1856"/>
    <cellStyle name="Output 2" xfId="1857"/>
    <cellStyle name="Output Amounts" xfId="1858"/>
    <cellStyle name="Output Column Headings" xfId="1859"/>
    <cellStyle name="Output Labels" xfId="1860"/>
    <cellStyle name="Output Line Items" xfId="1861"/>
    <cellStyle name="Output Report Heading" xfId="1862"/>
    <cellStyle name="Output Report Title" xfId="1863"/>
    <cellStyle name="Output_Balanco Patrimonial" xfId="1864"/>
    <cellStyle name="Output1_Back" xfId="1865"/>
    <cellStyle name="p0" xfId="1866"/>
    <cellStyle name="Page Number" xfId="1867"/>
    <cellStyle name="pb_table_format_bottomonly" xfId="40"/>
    <cellStyle name="per.style" xfId="7320"/>
    <cellStyle name="Percent %" xfId="1868"/>
    <cellStyle name="Percent % Long Underline" xfId="1869"/>
    <cellStyle name="Percent %_Empr-CP LP - 1º e 2º  trim-2001." xfId="1870"/>
    <cellStyle name="Percent (0)" xfId="1871"/>
    <cellStyle name="Percent (0) 2" xfId="1872"/>
    <cellStyle name="Percent [0]" xfId="1873"/>
    <cellStyle name="Percent [0] 2" xfId="1874"/>
    <cellStyle name="Percent [00]" xfId="1875"/>
    <cellStyle name="Percent [00] 2" xfId="7321"/>
    <cellStyle name="Percent [1]" xfId="1876"/>
    <cellStyle name="Percent [1] 2" xfId="1877"/>
    <cellStyle name="Percent [2]" xfId="1878"/>
    <cellStyle name="Percent [2] 2" xfId="1879"/>
    <cellStyle name="Percent 0.0%" xfId="1880"/>
    <cellStyle name="Percent 0.0% Long Underline" xfId="1881"/>
    <cellStyle name="Percent 0.0%_Empr-CP LP - 1º e 2º  trim-2001." xfId="1882"/>
    <cellStyle name="Percent 0.00%" xfId="1883"/>
    <cellStyle name="Percent 0.00% Long Underline" xfId="1884"/>
    <cellStyle name="Percent 0.00%_Empr-CP LP - 1º e 2º  trim-2001." xfId="1885"/>
    <cellStyle name="Percent 0.000%" xfId="1886"/>
    <cellStyle name="Percent 0.000% Long Underline" xfId="1887"/>
    <cellStyle name="Percent 0.000%_Empr-CP LP - 1º e 2º  trim-2001." xfId="1888"/>
    <cellStyle name="Percent 1" xfId="1889"/>
    <cellStyle name="Percent 10" xfId="7322"/>
    <cellStyle name="Percent 11" xfId="7323"/>
    <cellStyle name="Percent 2" xfId="1890"/>
    <cellStyle name="Percent 2 2" xfId="7324"/>
    <cellStyle name="percent 2 decimal" xfId="1891"/>
    <cellStyle name="Percent 3" xfId="1892"/>
    <cellStyle name="Percent 4" xfId="1893"/>
    <cellStyle name="Percent 4 2" xfId="7325"/>
    <cellStyle name="Percent 5" xfId="1894"/>
    <cellStyle name="Percent 5 2" xfId="7326"/>
    <cellStyle name="Percent 5 2 2" xfId="7327"/>
    <cellStyle name="Percent 5 3" xfId="7328"/>
    <cellStyle name="Percent 6" xfId="7329"/>
    <cellStyle name="Percent 7" xfId="7330"/>
    <cellStyle name="Percent 8" xfId="7331"/>
    <cellStyle name="Percent 9" xfId="7332"/>
    <cellStyle name="Percent_Account Detail" xfId="7333"/>
    <cellStyle name="percent0" xfId="1895"/>
    <cellStyle name="percent0 2" xfId="7334"/>
    <cellStyle name="Percent-0.0%" xfId="1896"/>
    <cellStyle name="percent1" xfId="1897"/>
    <cellStyle name="percent1 2" xfId="7335"/>
    <cellStyle name="PercentChange" xfId="1898"/>
    <cellStyle name="Percent-no dec" xfId="1899"/>
    <cellStyle name="PercentSales" xfId="1900"/>
    <cellStyle name="PercentSales 2" xfId="1901"/>
    <cellStyle name="Percentual" xfId="1902"/>
    <cellStyle name="Percentual[2]" xfId="1903"/>
    <cellStyle name="Percentual[2] 2" xfId="7336"/>
    <cellStyle name="Plain0Decimals" xfId="1904"/>
    <cellStyle name="PlainDollar" xfId="1905"/>
    <cellStyle name="Porcentagem" xfId="2" builtinId="5"/>
    <cellStyle name="Porcentagem 10" xfId="1906"/>
    <cellStyle name="Porcentagem 11" xfId="1907"/>
    <cellStyle name="Porcentagem 11 2" xfId="1908"/>
    <cellStyle name="Porcentagem 11 2 2" xfId="9619"/>
    <cellStyle name="Porcentagem 11 3" xfId="9620"/>
    <cellStyle name="Porcentagem 12" xfId="1909"/>
    <cellStyle name="Porcentagem 12 2" xfId="1910"/>
    <cellStyle name="Porcentagem 12 2 2" xfId="9621"/>
    <cellStyle name="Porcentagem 12 3" xfId="9622"/>
    <cellStyle name="Porcentagem 13" xfId="1911"/>
    <cellStyle name="Porcentagem 13 2" xfId="1912"/>
    <cellStyle name="Porcentagem 13 2 2" xfId="9623"/>
    <cellStyle name="Porcentagem 13 3" xfId="9624"/>
    <cellStyle name="Porcentagem 14" xfId="1913"/>
    <cellStyle name="Porcentagem 14 2" xfId="1914"/>
    <cellStyle name="Porcentagem 14 2 2" xfId="9625"/>
    <cellStyle name="Porcentagem 14 3" xfId="9626"/>
    <cellStyle name="Porcentagem 15" xfId="1915"/>
    <cellStyle name="Porcentagem 16" xfId="1916"/>
    <cellStyle name="Porcentagem 17" xfId="7337"/>
    <cellStyle name="Porcentagem 18" xfId="6227"/>
    <cellStyle name="Porcentagem 18 2" xfId="9627"/>
    <cellStyle name="Porcentagem 2" xfId="42"/>
    <cellStyle name="Porcentagem 2 2" xfId="1917"/>
    <cellStyle name="Porcentagem 2 2 2" xfId="9496"/>
    <cellStyle name="Porcentagem 2 3" xfId="6284"/>
    <cellStyle name="Porcentagem 2 3 2" xfId="9628"/>
    <cellStyle name="Porcentagem 2 4" xfId="72"/>
    <cellStyle name="Porcentagem 2 5" xfId="65"/>
    <cellStyle name="Porcentagem 3" xfId="43"/>
    <cellStyle name="Porcentagem 3 2" xfId="1919"/>
    <cellStyle name="Porcentagem 3 2 2" xfId="1920"/>
    <cellStyle name="Porcentagem 3 3" xfId="1921"/>
    <cellStyle name="Porcentagem 3 4" xfId="1918"/>
    <cellStyle name="Porcentagem 3 5" xfId="66"/>
    <cellStyle name="Porcentagem 4" xfId="41"/>
    <cellStyle name="Porcentagem 4 2" xfId="1923"/>
    <cellStyle name="Porcentagem 4 2 2" xfId="7338"/>
    <cellStyle name="Porcentagem 4 3" xfId="1924"/>
    <cellStyle name="Porcentagem 4 3 2" xfId="1925"/>
    <cellStyle name="Porcentagem 4 3 2 2" xfId="9629"/>
    <cellStyle name="Porcentagem 4 3 3" xfId="9630"/>
    <cellStyle name="Porcentagem 4 4" xfId="7339"/>
    <cellStyle name="Porcentagem 4 5" xfId="7340"/>
    <cellStyle name="Porcentagem 4 6" xfId="1922"/>
    <cellStyle name="Porcentagem 5" xfId="60"/>
    <cellStyle name="Porcentagem 5 2" xfId="7341"/>
    <cellStyle name="Porcentagem 5 2 2" xfId="9631"/>
    <cellStyle name="Porcentagem 5 3" xfId="1926"/>
    <cellStyle name="Porcentagem 6" xfId="1927"/>
    <cellStyle name="Porcentagem 6 2" xfId="1928"/>
    <cellStyle name="Porcentagem 7" xfId="1929"/>
    <cellStyle name="Porcentagem 7 2" xfId="1930"/>
    <cellStyle name="Porcentagem 8" xfId="1931"/>
    <cellStyle name="Porcentagem 8 2" xfId="1932"/>
    <cellStyle name="Porcentagem 8 2 2" xfId="1933"/>
    <cellStyle name="Porcentagem 8 2 2 2" xfId="1934"/>
    <cellStyle name="Porcentagem 8 2 2 2 2" xfId="9632"/>
    <cellStyle name="Porcentagem 8 2 2 3" xfId="9633"/>
    <cellStyle name="Porcentagem 8 2 3" xfId="1935"/>
    <cellStyle name="Porcentagem 8 2 3 2" xfId="9634"/>
    <cellStyle name="Porcentagem 8 2 4" xfId="9635"/>
    <cellStyle name="Porcentagem 8 3" xfId="1936"/>
    <cellStyle name="Porcentagem 8 3 2" xfId="1937"/>
    <cellStyle name="Porcentagem 8 3 2 2" xfId="9636"/>
    <cellStyle name="Porcentagem 8 3 3" xfId="9637"/>
    <cellStyle name="Porcentagem 8 4" xfId="1938"/>
    <cellStyle name="Porcentagem 8 4 2" xfId="9638"/>
    <cellStyle name="Porcentagem 8 5" xfId="9639"/>
    <cellStyle name="Porcentagem 9" xfId="1939"/>
    <cellStyle name="Porcentagem 9 2" xfId="1940"/>
    <cellStyle name="Porcentagem 9 2 2" xfId="1941"/>
    <cellStyle name="Porcentagem 9 2 2 2" xfId="9640"/>
    <cellStyle name="Porcentagem 9 2 3" xfId="9641"/>
    <cellStyle name="Porcentagem 9 3" xfId="1942"/>
    <cellStyle name="Porcentagem 9 3 2" xfId="9642"/>
    <cellStyle name="Porcentagem 9 4" xfId="9643"/>
    <cellStyle name="Porcentaje" xfId="1943"/>
    <cellStyle name="Pound" xfId="1944"/>
    <cellStyle name="Pound [1]" xfId="1945"/>
    <cellStyle name="Pound [2]" xfId="1946"/>
    <cellStyle name="PrePop Currency (0)" xfId="1947"/>
    <cellStyle name="PrePop Currency (0) 2" xfId="7342"/>
    <cellStyle name="PrePop Currency (2)" xfId="1948"/>
    <cellStyle name="PrePop Currency (2) 2" xfId="7343"/>
    <cellStyle name="PrePop Units (0)" xfId="1949"/>
    <cellStyle name="PrePop Units (0) 2" xfId="7344"/>
    <cellStyle name="PrePop Units (1)" xfId="1950"/>
    <cellStyle name="PrePop Units (1) 2" xfId="7345"/>
    <cellStyle name="PrePop Units (2)" xfId="1951"/>
    <cellStyle name="PrePop Units (2) 2" xfId="7346"/>
    <cellStyle name="Price" xfId="1952"/>
    <cellStyle name="Price 2" xfId="1953"/>
    <cellStyle name="Produtos" xfId="1954"/>
    <cellStyle name="Projeções" xfId="1955"/>
    <cellStyle name="PSChar" xfId="1956"/>
    <cellStyle name="PSDate" xfId="1957"/>
    <cellStyle name="PSDec" xfId="1958"/>
    <cellStyle name="PSHeading" xfId="1959"/>
    <cellStyle name="PSHeading 2" xfId="1960"/>
    <cellStyle name="PSInt" xfId="1961"/>
    <cellStyle name="PSSpacer" xfId="1962"/>
    <cellStyle name="pt" xfId="1963"/>
    <cellStyle name="Punto0" xfId="1964"/>
    <cellStyle name="Punto0 - Estilo6" xfId="1965"/>
    <cellStyle name="Quantidade" xfId="1966"/>
    <cellStyle name="Quantidade 2" xfId="7347"/>
    <cellStyle name="QuantidadeSaldo" xfId="1967"/>
    <cellStyle name="QuantidadeSaldo 2" xfId="7348"/>
    <cellStyle name="QuantidadeSaldo1" xfId="1968"/>
    <cellStyle name="r0" xfId="1969"/>
    <cellStyle name="RatioX" xfId="1970"/>
    <cellStyle name="Red" xfId="1971"/>
    <cellStyle name="Red font" xfId="1972"/>
    <cellStyle name="Red font 2" xfId="1973"/>
    <cellStyle name="Red Text" xfId="1974"/>
    <cellStyle name="Regular" xfId="1975"/>
    <cellStyle name="Regular 2" xfId="7349"/>
    <cellStyle name="RevList" xfId="7350"/>
    <cellStyle name="rh" xfId="7351"/>
    <cellStyle name="ri" xfId="1976"/>
    <cellStyle name="Right" xfId="1977"/>
    <cellStyle name="RM" xfId="1978"/>
    <cellStyle name="Roadrunner" xfId="1979"/>
    <cellStyle name="Roadrunner 2" xfId="1980"/>
    <cellStyle name="rodape" xfId="1981"/>
    <cellStyle name="s" xfId="1982"/>
    <cellStyle name="s_Acc (Dil) Matrix (2)" xfId="1983"/>
    <cellStyle name="s_Acc (Dil) Matrix (2)_1" xfId="1984"/>
    <cellStyle name="s_Acc (Dil) Matrix (2)_1_Comparativo VP FIN v1_So 2008" xfId="7352"/>
    <cellStyle name="s_Acc (Dil) Matrix (2)_1_Comparativo VP MKT 2008 v1_So 2008" xfId="7353"/>
    <cellStyle name="s_Acc (Dil) Matrix (2)_1_Comparativo VP TEC 2008 v1_So 2008" xfId="7354"/>
    <cellStyle name="s_Acc (Dil) Matrix (2)_1_Comparativo VP TEC 2008_Luiz Sergio" xfId="7355"/>
    <cellStyle name="s_Acc (Dil) Matrix (2)_1_Cópia de Modelo - Fluxo de Caixa Orcamento 09052009_V36_3" xfId="1985"/>
    <cellStyle name="s_Acc (Dil) Matrix (2)_1_Fluxo de Caixa Orcamento FINAL_13052009" xfId="1986"/>
    <cellStyle name="s_Acc (Dil) Matrix (2)_1_FM_dummyV4" xfId="1987"/>
    <cellStyle name="s_Acc (Dil) Matrix (2)_1_lalur" xfId="1988"/>
    <cellStyle name="s_Acc (Dil) Matrix (2)_1_Leasing_V3" xfId="1989"/>
    <cellStyle name="s_Acc (Dil) Matrix (2)_1_MODELO PDP III" xfId="1990"/>
    <cellStyle name="s_Acc (Dil) Matrix (2)_1_ORÇ_2009" xfId="1991"/>
    <cellStyle name="s_Acc (Dil) Matrix (2)_1_Pasta2" xfId="1992"/>
    <cellStyle name="s_Acc (Dil) Matrix (2)_2" xfId="1993"/>
    <cellStyle name="s_Acc (Dil) Matrix (2)_2_Celtic DCF" xfId="1994"/>
    <cellStyle name="s_Acc (Dil) Matrix (2)_2_Celtic DCF Inputs" xfId="1995"/>
    <cellStyle name="s_Acc (Dil) Matrix (2)_2_Celtic DCF Inputs_Comparativo VP FIN v1_So 2008" xfId="7356"/>
    <cellStyle name="s_Acc (Dil) Matrix (2)_2_Celtic DCF Inputs_Comparativo VP MKT 2008 v1_So 2008" xfId="7357"/>
    <cellStyle name="s_Acc (Dil) Matrix (2)_2_Celtic DCF Inputs_Comparativo VP TEC 2008 v1_So 2008" xfId="7358"/>
    <cellStyle name="s_Acc (Dil) Matrix (2)_2_Celtic DCF Inputs_Comparativo VP TEC 2008_Luiz Sergio" xfId="7359"/>
    <cellStyle name="s_Acc (Dil) Matrix (2)_2_Celtic DCF Inputs_Cópia de Modelo - Fluxo de Caixa Orcamento 09052009_V36_3" xfId="1996"/>
    <cellStyle name="s_Acc (Dil) Matrix (2)_2_Celtic DCF Inputs_Fluxo de Caixa Orcamento FINAL_13052009" xfId="1997"/>
    <cellStyle name="s_Acc (Dil) Matrix (2)_2_Celtic DCF Inputs_FM_dummyV4" xfId="1998"/>
    <cellStyle name="s_Acc (Dil) Matrix (2)_2_Celtic DCF Inputs_lalur" xfId="1999"/>
    <cellStyle name="s_Acc (Dil) Matrix (2)_2_Celtic DCF Inputs_Leasing_V3" xfId="2000"/>
    <cellStyle name="s_Acc (Dil) Matrix (2)_2_Celtic DCF Inputs_MODELO PDP III" xfId="2001"/>
    <cellStyle name="s_Acc (Dil) Matrix (2)_2_Celtic DCF Inputs_ORÇ_2009" xfId="2002"/>
    <cellStyle name="s_Acc (Dil) Matrix (2)_2_Celtic DCF Inputs_Pasta2" xfId="2003"/>
    <cellStyle name="s_Acc (Dil) Matrix (2)_2_Celtic DCF_Comparativo VP FIN v1_So 2008" xfId="7360"/>
    <cellStyle name="s_Acc (Dil) Matrix (2)_2_Celtic DCF_Comparativo VP MKT 2008 v1_So 2008" xfId="7361"/>
    <cellStyle name="s_Acc (Dil) Matrix (2)_2_Celtic DCF_Comparativo VP TEC 2008 v1_So 2008" xfId="7362"/>
    <cellStyle name="s_Acc (Dil) Matrix (2)_2_Celtic DCF_Comparativo VP TEC 2008_Luiz Sergio" xfId="7363"/>
    <cellStyle name="s_Acc (Dil) Matrix (2)_2_Celtic DCF_Cópia de Modelo - Fluxo de Caixa Orcamento 09052009_V36_3" xfId="2004"/>
    <cellStyle name="s_Acc (Dil) Matrix (2)_2_Celtic DCF_Fluxo de Caixa Orcamento FINAL_13052009" xfId="2005"/>
    <cellStyle name="s_Acc (Dil) Matrix (2)_2_Celtic DCF_FM_dummyV4" xfId="2006"/>
    <cellStyle name="s_Acc (Dil) Matrix (2)_2_Celtic DCF_lalur" xfId="2007"/>
    <cellStyle name="s_Acc (Dil) Matrix (2)_2_Celtic DCF_Leasing_V3" xfId="2008"/>
    <cellStyle name="s_Acc (Dil) Matrix (2)_2_Celtic DCF_MODELO PDP III" xfId="2009"/>
    <cellStyle name="s_Acc (Dil) Matrix (2)_2_Celtic DCF_ORÇ_2009" xfId="2010"/>
    <cellStyle name="s_Acc (Dil) Matrix (2)_2_Celtic DCF_Pasta2" xfId="2011"/>
    <cellStyle name="s_Acc (Dil) Matrix (2)_2_Comparativo VP FIN v1_So 2008" xfId="7364"/>
    <cellStyle name="s_Acc (Dil) Matrix (2)_2_Comparativo VP MKT 2008 v1_So 2008" xfId="7365"/>
    <cellStyle name="s_Acc (Dil) Matrix (2)_2_Comparativo VP TEC 2008 v1_So 2008" xfId="7366"/>
    <cellStyle name="s_Acc (Dil) Matrix (2)_2_Comparativo VP TEC 2008_Luiz Sergio" xfId="7367"/>
    <cellStyle name="s_Acc (Dil) Matrix (2)_2_Cópia de Modelo - Fluxo de Caixa Orcamento 09052009_V36_3" xfId="2012"/>
    <cellStyle name="s_Acc (Dil) Matrix (2)_2_Fluxo de Caixa Orcamento FINAL_13052009" xfId="2013"/>
    <cellStyle name="s_Acc (Dil) Matrix (2)_2_FM_dummyV4" xfId="2014"/>
    <cellStyle name="s_Acc (Dil) Matrix (2)_2_lalur" xfId="2015"/>
    <cellStyle name="s_Acc (Dil) Matrix (2)_2_Leasing_V3" xfId="2016"/>
    <cellStyle name="s_Acc (Dil) Matrix (2)_2_MODELO PDP III" xfId="2017"/>
    <cellStyle name="s_Acc (Dil) Matrix (2)_2_ORÇ_2009" xfId="2018"/>
    <cellStyle name="s_Acc (Dil) Matrix (2)_2_Pasta2" xfId="2019"/>
    <cellStyle name="s_Acc (Dil) Matrix (2)_2_Valuation Summary" xfId="2020"/>
    <cellStyle name="s_Acc (Dil) Matrix (2)_2_Valuation Summary_Comparativo VP FIN v1_So 2008" xfId="7368"/>
    <cellStyle name="s_Acc (Dil) Matrix (2)_2_Valuation Summary_Comparativo VP MKT 2008 v1_So 2008" xfId="7369"/>
    <cellStyle name="s_Acc (Dil) Matrix (2)_2_Valuation Summary_Comparativo VP TEC 2008 v1_So 2008" xfId="7370"/>
    <cellStyle name="s_Acc (Dil) Matrix (2)_2_Valuation Summary_Comparativo VP TEC 2008_Luiz Sergio" xfId="7371"/>
    <cellStyle name="s_Acc (Dil) Matrix (2)_2_Valuation Summary_Cópia de Modelo - Fluxo de Caixa Orcamento 09052009_V36_3" xfId="2021"/>
    <cellStyle name="s_Acc (Dil) Matrix (2)_2_Valuation Summary_Fluxo de Caixa Orcamento FINAL_13052009" xfId="2022"/>
    <cellStyle name="s_Acc (Dil) Matrix (2)_2_Valuation Summary_FM_dummyV4" xfId="2023"/>
    <cellStyle name="s_Acc (Dil) Matrix (2)_2_Valuation Summary_lalur" xfId="2024"/>
    <cellStyle name="s_Acc (Dil) Matrix (2)_2_Valuation Summary_Leasing_V3" xfId="2025"/>
    <cellStyle name="s_Acc (Dil) Matrix (2)_2_Valuation Summary_MODELO PDP III" xfId="2026"/>
    <cellStyle name="s_Acc (Dil) Matrix (2)_2_Valuation Summary_ORÇ_2009" xfId="2027"/>
    <cellStyle name="s_Acc (Dil) Matrix (2)_2_Valuation Summary_Pasta2" xfId="2028"/>
    <cellStyle name="s_Acc (Dil) Matrix (2)_Comparativo VP FIN v1_So 2008" xfId="7372"/>
    <cellStyle name="s_Acc (Dil) Matrix (2)_Comparativo VP MKT 2008 v1_So 2008" xfId="7373"/>
    <cellStyle name="s_Acc (Dil) Matrix (2)_Comparativo VP TEC 2008 v1_So 2008" xfId="7374"/>
    <cellStyle name="s_Acc (Dil) Matrix (2)_Comparativo VP TEC 2008_Luiz Sergio" xfId="7375"/>
    <cellStyle name="s_Acc (Dil) Matrix (2)_Cópia de Modelo - Fluxo de Caixa Orcamento 09052009_V36_3" xfId="2029"/>
    <cellStyle name="s_Acc (Dil) Matrix (2)_Fluxo de Caixa Orcamento FINAL_13052009" xfId="2030"/>
    <cellStyle name="s_Acc (Dil) Matrix (2)_FM_dummyV4" xfId="2031"/>
    <cellStyle name="s_Acc (Dil) Matrix (2)_lalur" xfId="2032"/>
    <cellStyle name="s_Acc (Dil) Matrix (2)_Leasing_V3" xfId="2033"/>
    <cellStyle name="s_Acc (Dil) Matrix (2)_MODELO PDP III" xfId="2034"/>
    <cellStyle name="s_Acc (Dil) Matrix (2)_ORÇ_2009" xfId="2035"/>
    <cellStyle name="s_Acc (Dil) Matrix (2)_Pasta2" xfId="2036"/>
    <cellStyle name="s_Ariz_Nevada (2)" xfId="2037"/>
    <cellStyle name="s_Ariz_Nevada (2)_1" xfId="2038"/>
    <cellStyle name="s_Ariz_Nevada (2)_1_Comparativo VP FIN v1_So 2008" xfId="7376"/>
    <cellStyle name="s_Ariz_Nevada (2)_1_Comparativo VP MKT 2008 v1_So 2008" xfId="7377"/>
    <cellStyle name="s_Ariz_Nevada (2)_1_Comparativo VP TEC 2008 v1_So 2008" xfId="7378"/>
    <cellStyle name="s_Ariz_Nevada (2)_1_Comparativo VP TEC 2008_Luiz Sergio" xfId="7379"/>
    <cellStyle name="s_Ariz_Nevada (2)_1_Cópia de Modelo - Fluxo de Caixa Orcamento 09052009_V36_3" xfId="2039"/>
    <cellStyle name="s_Ariz_Nevada (2)_1_Fluxo de Caixa Orcamento FINAL_13052009" xfId="2040"/>
    <cellStyle name="s_Ariz_Nevada (2)_1_FM_dummyV4" xfId="2041"/>
    <cellStyle name="s_Ariz_Nevada (2)_1_lalur" xfId="2042"/>
    <cellStyle name="s_Ariz_Nevada (2)_1_Leasing_V3" xfId="2043"/>
    <cellStyle name="s_Ariz_Nevada (2)_1_MODELO PDP III" xfId="2044"/>
    <cellStyle name="s_Ariz_Nevada (2)_1_ORÇ_2009" xfId="2045"/>
    <cellStyle name="s_Ariz_Nevada (2)_1_Pasta2" xfId="2046"/>
    <cellStyle name="s_Ariz_Nevada (2)_Comparativo VP FIN v1_So 2008" xfId="7380"/>
    <cellStyle name="s_Ariz_Nevada (2)_Comparativo VP MKT 2008 v1_So 2008" xfId="7381"/>
    <cellStyle name="s_Ariz_Nevada (2)_Comparativo VP TEC 2008 v1_So 2008" xfId="7382"/>
    <cellStyle name="s_Ariz_Nevada (2)_Comparativo VP TEC 2008_Luiz Sergio" xfId="7383"/>
    <cellStyle name="s_Ariz_Nevada (2)_Cópia de Modelo - Fluxo de Caixa Orcamento 09052009_V36_3" xfId="2047"/>
    <cellStyle name="s_Ariz_Nevada (2)_Fluxo de Caixa Orcamento FINAL_13052009" xfId="2048"/>
    <cellStyle name="s_Ariz_Nevada (2)_FM_dummyV4" xfId="2049"/>
    <cellStyle name="s_Ariz_Nevada (2)_lalur" xfId="2050"/>
    <cellStyle name="s_Ariz_Nevada (2)_Leasing_V3" xfId="2051"/>
    <cellStyle name="s_Ariz_Nevada (2)_MODELO PDP III" xfId="2052"/>
    <cellStyle name="s_Ariz_Nevada (2)_ORÇ_2009" xfId="2053"/>
    <cellStyle name="s_Ariz_Nevada (2)_Pasta2" xfId="2054"/>
    <cellStyle name="s_Assumptions" xfId="2055"/>
    <cellStyle name="s_Assumptions_Comparativo VP FIN v1_So 2008" xfId="7384"/>
    <cellStyle name="s_Assumptions_Comparativo VP MKT 2008 v1_So 2008" xfId="7385"/>
    <cellStyle name="s_Assumptions_Comparativo VP TEC 2008 v1_So 2008" xfId="7386"/>
    <cellStyle name="s_Assumptions_Comparativo VP TEC 2008_Luiz Sergio" xfId="7387"/>
    <cellStyle name="s_Assumptions_Cópia de Modelo - Fluxo de Caixa Orcamento 09052009_V36_3" xfId="2056"/>
    <cellStyle name="s_Assumptions_Fluxo de Caixa Orcamento FINAL_13052009" xfId="2057"/>
    <cellStyle name="s_Assumptions_FM_dummyV4" xfId="2058"/>
    <cellStyle name="s_Assumptions_lalur" xfId="2059"/>
    <cellStyle name="s_Assumptions_Leasing_V3" xfId="2060"/>
    <cellStyle name="s_Assumptions_MODELO PDP III" xfId="2061"/>
    <cellStyle name="s_Assumptions_ORÇ_2009" xfId="2062"/>
    <cellStyle name="s_Assumptions_Pasta2" xfId="2063"/>
    <cellStyle name="s_Assumptions_Q2 pipeline" xfId="2064"/>
    <cellStyle name="s_Assumptions_Q2 pipeline 2" xfId="7388"/>
    <cellStyle name="s_Assumptions_Q2 pipeline_Cópia de Modelo - Fluxo de Caixa Orcamento 09052009_V36_3" xfId="2065"/>
    <cellStyle name="s_Assumptions_Q2 pipeline_Cópia de Modelo - Fluxo de Caixa Orcamento 09052009_V36_3 2" xfId="7389"/>
    <cellStyle name="s_Assumptions_Q2 pipeline_Fluxo de Caixa Orcamento FINAL_13052009" xfId="2066"/>
    <cellStyle name="s_Assumptions_Q2 pipeline_Fluxo de Caixa Orcamento FINAL_13052009 2" xfId="7390"/>
    <cellStyle name="s_Assumptions_Q2 pipeline_FM_dummyV4" xfId="2067"/>
    <cellStyle name="s_Assumptions_Q2 pipeline_lalur" xfId="2068"/>
    <cellStyle name="s_Assumptions_Q2 pipeline_Leasing_V3" xfId="2069"/>
    <cellStyle name="s_Assumptions_Q2 pipeline_MODELO PDP III" xfId="2070"/>
    <cellStyle name="s_Assumptions_Q2 pipeline_ORÇ_2009" xfId="2071"/>
    <cellStyle name="s_Assumptions_Q2 pipeline_ORÇ_2009 2" xfId="7391"/>
    <cellStyle name="s_Assumptions_Q2 pipeline_Pasta2" xfId="2072"/>
    <cellStyle name="s_Assumptions_Q2 pipeline_Pasta2 2" xfId="7392"/>
    <cellStyle name="s_B_S_Ratios _B" xfId="2073"/>
    <cellStyle name="s_B_S_Ratios _B_Comparativo VP FIN v1_So 2008" xfId="7393"/>
    <cellStyle name="s_B_S_Ratios _B_Comparativo VP MKT 2008 v1_So 2008" xfId="7394"/>
    <cellStyle name="s_B_S_Ratios _B_Comparativo VP TEC 2008 v1_So 2008" xfId="7395"/>
    <cellStyle name="s_B_S_Ratios _B_Comparativo VP TEC 2008_Luiz Sergio" xfId="7396"/>
    <cellStyle name="s_B_S_Ratios _B_Cópia de Modelo - Fluxo de Caixa Orcamento 09052009_V36_3" xfId="2074"/>
    <cellStyle name="s_B_S_Ratios _B_Fluxo de Caixa Orcamento FINAL_13052009" xfId="2075"/>
    <cellStyle name="s_B_S_Ratios _B_FM_dummyV4" xfId="2076"/>
    <cellStyle name="s_B_S_Ratios _B_lalur" xfId="2077"/>
    <cellStyle name="s_B_S_Ratios _B_Leasing_V3" xfId="2078"/>
    <cellStyle name="s_B_S_Ratios _B_MODELO PDP III" xfId="2079"/>
    <cellStyle name="s_B_S_Ratios _B_ORÇ_2009" xfId="2080"/>
    <cellStyle name="s_B_S_Ratios _B_Pasta2" xfId="2081"/>
    <cellStyle name="s_B_S_Ratios _B_Q2 pipeline" xfId="2082"/>
    <cellStyle name="s_B_S_Ratios _B_Q2 pipeline 2" xfId="7397"/>
    <cellStyle name="s_B_S_Ratios _B_Q2 pipeline_Cópia de Modelo - Fluxo de Caixa Orcamento 09052009_V36_3" xfId="2083"/>
    <cellStyle name="s_B_S_Ratios _B_Q2 pipeline_Cópia de Modelo - Fluxo de Caixa Orcamento 09052009_V36_3 2" xfId="7398"/>
    <cellStyle name="s_B_S_Ratios _B_Q2 pipeline_Fluxo de Caixa Orcamento FINAL_13052009" xfId="2084"/>
    <cellStyle name="s_B_S_Ratios _B_Q2 pipeline_Fluxo de Caixa Orcamento FINAL_13052009 2" xfId="7399"/>
    <cellStyle name="s_B_S_Ratios _B_Q2 pipeline_FM_dummyV4" xfId="2085"/>
    <cellStyle name="s_B_S_Ratios _B_Q2 pipeline_lalur" xfId="2086"/>
    <cellStyle name="s_B_S_Ratios _B_Q2 pipeline_Leasing_V3" xfId="2087"/>
    <cellStyle name="s_B_S_Ratios _B_Q2 pipeline_MODELO PDP III" xfId="2088"/>
    <cellStyle name="s_B_S_Ratios _B_Q2 pipeline_ORÇ_2009" xfId="2089"/>
    <cellStyle name="s_B_S_Ratios _B_Q2 pipeline_ORÇ_2009 2" xfId="7400"/>
    <cellStyle name="s_B_S_Ratios _B_Q2 pipeline_Pasta2" xfId="2090"/>
    <cellStyle name="s_B_S_Ratios _B_Q2 pipeline_Pasta2 2" xfId="7401"/>
    <cellStyle name="s_B_S_Ratios_T" xfId="2091"/>
    <cellStyle name="s_B_S_Ratios_T_Comparativo VP FIN v1_So 2008" xfId="7402"/>
    <cellStyle name="s_B_S_Ratios_T_Comparativo VP MKT 2008 v1_So 2008" xfId="7403"/>
    <cellStyle name="s_B_S_Ratios_T_Comparativo VP TEC 2008 v1_So 2008" xfId="7404"/>
    <cellStyle name="s_B_S_Ratios_T_Comparativo VP TEC 2008_Luiz Sergio" xfId="7405"/>
    <cellStyle name="s_B_S_Ratios_T_Cópia de Modelo - Fluxo de Caixa Orcamento 09052009_V36_3" xfId="2092"/>
    <cellStyle name="s_B_S_Ratios_T_Fluxo de Caixa Orcamento FINAL_13052009" xfId="2093"/>
    <cellStyle name="s_B_S_Ratios_T_FM_dummyV4" xfId="2094"/>
    <cellStyle name="s_B_S_Ratios_T_lalur" xfId="2095"/>
    <cellStyle name="s_B_S_Ratios_T_Leasing_V3" xfId="2096"/>
    <cellStyle name="s_B_S_Ratios_T_MODELO PDP III" xfId="2097"/>
    <cellStyle name="s_B_S_Ratios_T_ORÇ_2009" xfId="2098"/>
    <cellStyle name="s_B_S_Ratios_T_Pasta2" xfId="2099"/>
    <cellStyle name="s_B_S_Ratios_T_Q2 pipeline" xfId="2100"/>
    <cellStyle name="s_B_S_Ratios_T_Q2 pipeline 2" xfId="7406"/>
    <cellStyle name="s_B_S_Ratios_T_Q2 pipeline_Cópia de Modelo - Fluxo de Caixa Orcamento 09052009_V36_3" xfId="2101"/>
    <cellStyle name="s_B_S_Ratios_T_Q2 pipeline_Cópia de Modelo - Fluxo de Caixa Orcamento 09052009_V36_3 2" xfId="7407"/>
    <cellStyle name="s_B_S_Ratios_T_Q2 pipeline_Fluxo de Caixa Orcamento FINAL_13052009" xfId="2102"/>
    <cellStyle name="s_B_S_Ratios_T_Q2 pipeline_Fluxo de Caixa Orcamento FINAL_13052009 2" xfId="7408"/>
    <cellStyle name="s_B_S_Ratios_T_Q2 pipeline_FM_dummyV4" xfId="2103"/>
    <cellStyle name="s_B_S_Ratios_T_Q2 pipeline_lalur" xfId="2104"/>
    <cellStyle name="s_B_S_Ratios_T_Q2 pipeline_Leasing_V3" xfId="2105"/>
    <cellStyle name="s_B_S_Ratios_T_Q2 pipeline_MODELO PDP III" xfId="2106"/>
    <cellStyle name="s_B_S_Ratios_T_Q2 pipeline_ORÇ_2009" xfId="2107"/>
    <cellStyle name="s_B_S_Ratios_T_Q2 pipeline_ORÇ_2009 2" xfId="7409"/>
    <cellStyle name="s_B_S_Ratios_T_Q2 pipeline_Pasta2" xfId="2108"/>
    <cellStyle name="s_B_S_Ratios_T_Q2 pipeline_Pasta2 2" xfId="7410"/>
    <cellStyle name="s_Bal Sheets" xfId="2109"/>
    <cellStyle name="s_Bal Sheets (2)" xfId="2110"/>
    <cellStyle name="s_Bal Sheets (2)_1" xfId="2111"/>
    <cellStyle name="s_Bal Sheets (2)_1_Comparativo VP FIN v1_So 2008" xfId="7411"/>
    <cellStyle name="s_Bal Sheets (2)_1_Comparativo VP MKT 2008 v1_So 2008" xfId="7412"/>
    <cellStyle name="s_Bal Sheets (2)_1_Comparativo VP TEC 2008 v1_So 2008" xfId="7413"/>
    <cellStyle name="s_Bal Sheets (2)_1_Comparativo VP TEC 2008_Luiz Sergio" xfId="7414"/>
    <cellStyle name="s_Bal Sheets (2)_1_Cópia de Modelo - Fluxo de Caixa Orcamento 09052009_V36_3" xfId="2112"/>
    <cellStyle name="s_Bal Sheets (2)_1_Fluxo de Caixa Orcamento FINAL_13052009" xfId="2113"/>
    <cellStyle name="s_Bal Sheets (2)_1_FM_dummyV4" xfId="2114"/>
    <cellStyle name="s_Bal Sheets (2)_1_lalur" xfId="2115"/>
    <cellStyle name="s_Bal Sheets (2)_1_Leasing_V3" xfId="2116"/>
    <cellStyle name="s_Bal Sheets (2)_1_MODELO PDP III" xfId="2117"/>
    <cellStyle name="s_Bal Sheets (2)_1_ORÇ_2009" xfId="2118"/>
    <cellStyle name="s_Bal Sheets (2)_1_Pasta2" xfId="2119"/>
    <cellStyle name="s_Bal Sheets (2)_Comparativo VP FIN v1_So 2008" xfId="7415"/>
    <cellStyle name="s_Bal Sheets (2)_Comparativo VP MKT 2008 v1_So 2008" xfId="7416"/>
    <cellStyle name="s_Bal Sheets (2)_Comparativo VP TEC 2008 v1_So 2008" xfId="7417"/>
    <cellStyle name="s_Bal Sheets (2)_Comparativo VP TEC 2008_Luiz Sergio" xfId="7418"/>
    <cellStyle name="s_Bal Sheets (2)_Cópia de Modelo - Fluxo de Caixa Orcamento 09052009_V36_3" xfId="2120"/>
    <cellStyle name="s_Bal Sheets (2)_Fluxo de Caixa Orcamento FINAL_13052009" xfId="2121"/>
    <cellStyle name="s_Bal Sheets (2)_FM_dummyV4" xfId="2122"/>
    <cellStyle name="s_Bal Sheets (2)_lalur" xfId="2123"/>
    <cellStyle name="s_Bal Sheets (2)_Leasing_V3" xfId="2124"/>
    <cellStyle name="s_Bal Sheets (2)_MODELO PDP III" xfId="2125"/>
    <cellStyle name="s_Bal Sheets (2)_ORÇ_2009" xfId="2126"/>
    <cellStyle name="s_Bal Sheets (2)_Pasta2" xfId="2127"/>
    <cellStyle name="s_Bal Sheets_1" xfId="2128"/>
    <cellStyle name="s_Bal Sheets_1_AM0909" xfId="2129"/>
    <cellStyle name="s_Bal Sheets_1_AM0909_Comparativo VP FIN v1_So 2008" xfId="7419"/>
    <cellStyle name="s_Bal Sheets_1_AM0909_Comparativo VP MKT 2008 v1_So 2008" xfId="7420"/>
    <cellStyle name="s_Bal Sheets_1_AM0909_Comparativo VP TEC 2008 v1_So 2008" xfId="7421"/>
    <cellStyle name="s_Bal Sheets_1_AM0909_Comparativo VP TEC 2008_Luiz Sergio" xfId="7422"/>
    <cellStyle name="s_Bal Sheets_1_AM0909_Cópia de Modelo - Fluxo de Caixa Orcamento 09052009_V36_3" xfId="2130"/>
    <cellStyle name="s_Bal Sheets_1_AM0909_Fluxo de Caixa Orcamento FINAL_13052009" xfId="2131"/>
    <cellStyle name="s_Bal Sheets_1_AM0909_FM_dummyV4" xfId="2132"/>
    <cellStyle name="s_Bal Sheets_1_AM0909_lalur" xfId="2133"/>
    <cellStyle name="s_Bal Sheets_1_AM0909_Leasing_V3" xfId="2134"/>
    <cellStyle name="s_Bal Sheets_1_AM0909_MODELO PDP III" xfId="2135"/>
    <cellStyle name="s_Bal Sheets_1_AM0909_ORÇ_2009" xfId="2136"/>
    <cellStyle name="s_Bal Sheets_1_AM0909_Pasta2" xfId="2137"/>
    <cellStyle name="s_Bal Sheets_1_Brenner" xfId="2138"/>
    <cellStyle name="s_Bal Sheets_1_Brenner_Comparativo VP FIN v1_So 2008" xfId="7423"/>
    <cellStyle name="s_Bal Sheets_1_Brenner_Comparativo VP MKT 2008 v1_So 2008" xfId="7424"/>
    <cellStyle name="s_Bal Sheets_1_Brenner_Comparativo VP TEC 2008 v1_So 2008" xfId="7425"/>
    <cellStyle name="s_Bal Sheets_1_Brenner_Comparativo VP TEC 2008_Luiz Sergio" xfId="7426"/>
    <cellStyle name="s_Bal Sheets_1_Brenner_Cópia de Modelo - Fluxo de Caixa Orcamento 09052009_V36_3" xfId="2139"/>
    <cellStyle name="s_Bal Sheets_1_Brenner_Fluxo de Caixa Orcamento FINAL_13052009" xfId="2140"/>
    <cellStyle name="s_Bal Sheets_1_Brenner_FM_dummyV4" xfId="2141"/>
    <cellStyle name="s_Bal Sheets_1_Brenner_lalur" xfId="2142"/>
    <cellStyle name="s_Bal Sheets_1_Brenner_Leasing_V3" xfId="2143"/>
    <cellStyle name="s_Bal Sheets_1_Brenner_MODELO PDP III" xfId="2144"/>
    <cellStyle name="s_Bal Sheets_1_Brenner_ORÇ_2009" xfId="2145"/>
    <cellStyle name="s_Bal Sheets_1_Brenner_Pasta2" xfId="2146"/>
    <cellStyle name="s_Bal Sheets_1_Comparativo VP FIN v1_So 2008" xfId="7427"/>
    <cellStyle name="s_Bal Sheets_1_Comparativo VP MKT 2008 v1_So 2008" xfId="7428"/>
    <cellStyle name="s_Bal Sheets_1_Comparativo VP TEC 2008 v1_So 2008" xfId="7429"/>
    <cellStyle name="s_Bal Sheets_1_Comparativo VP TEC 2008_Luiz Sergio" xfId="7430"/>
    <cellStyle name="s_Bal Sheets_1_Cópia de Modelo - Fluxo de Caixa Orcamento 09052009_V36_3" xfId="2147"/>
    <cellStyle name="s_Bal Sheets_1_Fluxo de Caixa Orcamento FINAL_13052009" xfId="2148"/>
    <cellStyle name="s_Bal Sheets_1_FM_dummyV4" xfId="2149"/>
    <cellStyle name="s_Bal Sheets_1_lalur" xfId="2150"/>
    <cellStyle name="s_Bal Sheets_1_Leasing_V3" xfId="2151"/>
    <cellStyle name="s_Bal Sheets_1_MODELO PDP III" xfId="2152"/>
    <cellStyle name="s_Bal Sheets_1_ORÇ_2009" xfId="2153"/>
    <cellStyle name="s_Bal Sheets_1_Pasta2" xfId="2154"/>
    <cellStyle name="s_Bal Sheets_2" xfId="2155"/>
    <cellStyle name="s_Bal Sheets_2_Comparativo VP FIN v1_So 2008" xfId="7431"/>
    <cellStyle name="s_Bal Sheets_2_Comparativo VP MKT 2008 v1_So 2008" xfId="7432"/>
    <cellStyle name="s_Bal Sheets_2_Comparativo VP TEC 2008 v1_So 2008" xfId="7433"/>
    <cellStyle name="s_Bal Sheets_2_Comparativo VP TEC 2008_Luiz Sergio" xfId="7434"/>
    <cellStyle name="s_Bal Sheets_2_Cópia de Modelo - Fluxo de Caixa Orcamento 09052009_V36_3" xfId="2156"/>
    <cellStyle name="s_Bal Sheets_2_Fluxo de Caixa Orcamento FINAL_13052009" xfId="2157"/>
    <cellStyle name="s_Bal Sheets_2_FM_dummyV4" xfId="2158"/>
    <cellStyle name="s_Bal Sheets_2_lalur" xfId="2159"/>
    <cellStyle name="s_Bal Sheets_2_Leasing_V3" xfId="2160"/>
    <cellStyle name="s_Bal Sheets_2_MODELO PDP III" xfId="2161"/>
    <cellStyle name="s_Bal Sheets_2_ORÇ_2009" xfId="2162"/>
    <cellStyle name="s_Bal Sheets_2_Pasta2" xfId="2163"/>
    <cellStyle name="s_Bal Sheets_AM0909" xfId="2164"/>
    <cellStyle name="s_Bal Sheets_AM0909_Comparativo VP FIN v1_So 2008" xfId="7435"/>
    <cellStyle name="s_Bal Sheets_AM0909_Comparativo VP MKT 2008 v1_So 2008" xfId="7436"/>
    <cellStyle name="s_Bal Sheets_AM0909_Comparativo VP TEC 2008 v1_So 2008" xfId="7437"/>
    <cellStyle name="s_Bal Sheets_AM0909_Comparativo VP TEC 2008_Luiz Sergio" xfId="7438"/>
    <cellStyle name="s_Bal Sheets_AM0909_Cópia de Modelo - Fluxo de Caixa Orcamento 09052009_V36_3" xfId="2165"/>
    <cellStyle name="s_Bal Sheets_AM0909_Fluxo de Caixa Orcamento FINAL_13052009" xfId="2166"/>
    <cellStyle name="s_Bal Sheets_AM0909_FM_dummyV4" xfId="2167"/>
    <cellStyle name="s_Bal Sheets_AM0909_lalur" xfId="2168"/>
    <cellStyle name="s_Bal Sheets_AM0909_Leasing_V3" xfId="2169"/>
    <cellStyle name="s_Bal Sheets_AM0909_MODELO PDP III" xfId="2170"/>
    <cellStyle name="s_Bal Sheets_AM0909_ORÇ_2009" xfId="2171"/>
    <cellStyle name="s_Bal Sheets_AM0909_Pasta2" xfId="2172"/>
    <cellStyle name="s_Bal Sheets_Brenner" xfId="2173"/>
    <cellStyle name="s_Bal Sheets_Brenner_Comparativo VP FIN v1_So 2008" xfId="7439"/>
    <cellStyle name="s_Bal Sheets_Brenner_Comparativo VP MKT 2008 v1_So 2008" xfId="7440"/>
    <cellStyle name="s_Bal Sheets_Brenner_Comparativo VP TEC 2008 v1_So 2008" xfId="7441"/>
    <cellStyle name="s_Bal Sheets_Brenner_Comparativo VP TEC 2008_Luiz Sergio" xfId="7442"/>
    <cellStyle name="s_Bal Sheets_Brenner_Cópia de Modelo - Fluxo de Caixa Orcamento 09052009_V36_3" xfId="2174"/>
    <cellStyle name="s_Bal Sheets_Brenner_Fluxo de Caixa Orcamento FINAL_13052009" xfId="2175"/>
    <cellStyle name="s_Bal Sheets_Brenner_FM_dummyV4" xfId="2176"/>
    <cellStyle name="s_Bal Sheets_Brenner_lalur" xfId="2177"/>
    <cellStyle name="s_Bal Sheets_Brenner_Leasing_V3" xfId="2178"/>
    <cellStyle name="s_Bal Sheets_Brenner_MODELO PDP III" xfId="2179"/>
    <cellStyle name="s_Bal Sheets_Brenner_ORÇ_2009" xfId="2180"/>
    <cellStyle name="s_Bal Sheets_Brenner_Pasta2" xfId="2181"/>
    <cellStyle name="s_Bal Sheets_Comparativo VP FIN v1_So 2008" xfId="7443"/>
    <cellStyle name="s_Bal Sheets_Comparativo VP MKT 2008 v1_So 2008" xfId="7444"/>
    <cellStyle name="s_Bal Sheets_Comparativo VP TEC 2008 v1_So 2008" xfId="7445"/>
    <cellStyle name="s_Bal Sheets_Comparativo VP TEC 2008_Luiz Sergio" xfId="7446"/>
    <cellStyle name="s_Bal Sheets_Cópia de Modelo - Fluxo de Caixa Orcamento 09052009_V36_3" xfId="2182"/>
    <cellStyle name="s_Bal Sheets_Fluxo de Caixa Orcamento FINAL_13052009" xfId="2183"/>
    <cellStyle name="s_Bal Sheets_FM_dummyV4" xfId="2184"/>
    <cellStyle name="s_Bal Sheets_lalur" xfId="2185"/>
    <cellStyle name="s_Bal Sheets_Leasing_V3" xfId="2186"/>
    <cellStyle name="s_Bal Sheets_MODELO PDP III" xfId="2187"/>
    <cellStyle name="s_Bal Sheets_ORÇ_2009" xfId="2188"/>
    <cellStyle name="s_Bal Sheets_Pasta2" xfId="2189"/>
    <cellStyle name="s_Base Apresentação" xfId="7447"/>
    <cellStyle name="s_Base Apresentação_Base ITR Set-10 - Ajustes Resmat" xfId="7448"/>
    <cellStyle name="s_But813" xfId="2190"/>
    <cellStyle name="s_But813_Comparativo VP FIN v1_So 2008" xfId="7449"/>
    <cellStyle name="s_But813_Comparativo VP MKT 2008 v1_So 2008" xfId="7450"/>
    <cellStyle name="s_But813_Comparativo VP TEC 2008 v1_So 2008" xfId="7451"/>
    <cellStyle name="s_But813_Comparativo VP TEC 2008_Luiz Sergio" xfId="7452"/>
    <cellStyle name="s_But813_Cópia de Modelo - Fluxo de Caixa Orcamento 09052009_V36_3" xfId="2191"/>
    <cellStyle name="s_But813_Fluxo de Caixa Orcamento FINAL_13052009" xfId="2192"/>
    <cellStyle name="s_But813_FM_dummyV4" xfId="2193"/>
    <cellStyle name="s_But813_lalur" xfId="2194"/>
    <cellStyle name="s_But813_Leasing_V3" xfId="2195"/>
    <cellStyle name="s_But813_MODELO PDP III" xfId="2196"/>
    <cellStyle name="s_But813_ORÇ_2009" xfId="2197"/>
    <cellStyle name="s_But813_Pasta2" xfId="2198"/>
    <cellStyle name="s_But925" xfId="2199"/>
    <cellStyle name="s_But925_Comparativo VP FIN v1_So 2008" xfId="7453"/>
    <cellStyle name="s_But925_Comparativo VP MKT 2008 v1_So 2008" xfId="7454"/>
    <cellStyle name="s_But925_Comparativo VP TEC 2008 v1_So 2008" xfId="7455"/>
    <cellStyle name="s_But925_Comparativo VP TEC 2008_Luiz Sergio" xfId="7456"/>
    <cellStyle name="s_But925_Cópia de Modelo - Fluxo de Caixa Orcamento 09052009_V36_3" xfId="2200"/>
    <cellStyle name="s_But925_Fluxo de Caixa Orcamento FINAL_13052009" xfId="2201"/>
    <cellStyle name="s_But925_FM_dummyV4" xfId="2202"/>
    <cellStyle name="s_But925_lalur" xfId="2203"/>
    <cellStyle name="s_But925_Leasing_V3" xfId="2204"/>
    <cellStyle name="s_But925_MODELO PDP III" xfId="2205"/>
    <cellStyle name="s_But925_ORÇ_2009" xfId="2206"/>
    <cellStyle name="s_But925_Pasta2" xfId="2207"/>
    <cellStyle name="s_CA Cases (2)" xfId="2208"/>
    <cellStyle name="s_CA Cases (2)_1" xfId="2209"/>
    <cellStyle name="s_CA Cases (2)_1_Comparativo VP FIN v1_So 2008" xfId="7457"/>
    <cellStyle name="s_CA Cases (2)_1_Comparativo VP MKT 2008 v1_So 2008" xfId="7458"/>
    <cellStyle name="s_CA Cases (2)_1_Comparativo VP TEC 2008 v1_So 2008" xfId="7459"/>
    <cellStyle name="s_CA Cases (2)_1_Comparativo VP TEC 2008_Luiz Sergio" xfId="7460"/>
    <cellStyle name="s_CA Cases (2)_1_Cópia de Modelo - Fluxo de Caixa Orcamento 09052009_V36_3" xfId="2210"/>
    <cellStyle name="s_CA Cases (2)_1_Fluxo de Caixa Orcamento FINAL_13052009" xfId="2211"/>
    <cellStyle name="s_CA Cases (2)_1_FM_dummyV4" xfId="2212"/>
    <cellStyle name="s_CA Cases (2)_1_lalur" xfId="2213"/>
    <cellStyle name="s_CA Cases (2)_1_Leasing_V3" xfId="2214"/>
    <cellStyle name="s_CA Cases (2)_1_MODELO PDP III" xfId="2215"/>
    <cellStyle name="s_CA Cases (2)_1_ORÇ_2009" xfId="2216"/>
    <cellStyle name="s_CA Cases (2)_1_Pasta2" xfId="2217"/>
    <cellStyle name="s_CA Cases (2)_Celtic DCF" xfId="2218"/>
    <cellStyle name="s_CA Cases (2)_Celtic DCF Inputs" xfId="2219"/>
    <cellStyle name="s_CA Cases (2)_Celtic DCF Inputs_Comparativo VP FIN v1_So 2008" xfId="7461"/>
    <cellStyle name="s_CA Cases (2)_Celtic DCF Inputs_Comparativo VP MKT 2008 v1_So 2008" xfId="7462"/>
    <cellStyle name="s_CA Cases (2)_Celtic DCF Inputs_Comparativo VP TEC 2008 v1_So 2008" xfId="7463"/>
    <cellStyle name="s_CA Cases (2)_Celtic DCF Inputs_Comparativo VP TEC 2008_Luiz Sergio" xfId="7464"/>
    <cellStyle name="s_CA Cases (2)_Celtic DCF Inputs_Cópia de Modelo - Fluxo de Caixa Orcamento 09052009_V36_3" xfId="2220"/>
    <cellStyle name="s_CA Cases (2)_Celtic DCF Inputs_Fluxo de Caixa Orcamento FINAL_13052009" xfId="2221"/>
    <cellStyle name="s_CA Cases (2)_Celtic DCF Inputs_FM_dummyV4" xfId="2222"/>
    <cellStyle name="s_CA Cases (2)_Celtic DCF Inputs_lalur" xfId="2223"/>
    <cellStyle name="s_CA Cases (2)_Celtic DCF Inputs_Leasing_V3" xfId="2224"/>
    <cellStyle name="s_CA Cases (2)_Celtic DCF Inputs_MODELO PDP III" xfId="2225"/>
    <cellStyle name="s_CA Cases (2)_Celtic DCF Inputs_ORÇ_2009" xfId="2226"/>
    <cellStyle name="s_CA Cases (2)_Celtic DCF Inputs_Pasta2" xfId="2227"/>
    <cellStyle name="s_CA Cases (2)_Celtic DCF_Comparativo VP FIN v1_So 2008" xfId="7465"/>
    <cellStyle name="s_CA Cases (2)_Celtic DCF_Comparativo VP MKT 2008 v1_So 2008" xfId="7466"/>
    <cellStyle name="s_CA Cases (2)_Celtic DCF_Comparativo VP TEC 2008 v1_So 2008" xfId="7467"/>
    <cellStyle name="s_CA Cases (2)_Celtic DCF_Comparativo VP TEC 2008_Luiz Sergio" xfId="7468"/>
    <cellStyle name="s_CA Cases (2)_Celtic DCF_Cópia de Modelo - Fluxo de Caixa Orcamento 09052009_V36_3" xfId="2228"/>
    <cellStyle name="s_CA Cases (2)_Celtic DCF_Fluxo de Caixa Orcamento FINAL_13052009" xfId="2229"/>
    <cellStyle name="s_CA Cases (2)_Celtic DCF_FM_dummyV4" xfId="2230"/>
    <cellStyle name="s_CA Cases (2)_Celtic DCF_lalur" xfId="2231"/>
    <cellStyle name="s_CA Cases (2)_Celtic DCF_Leasing_V3" xfId="2232"/>
    <cellStyle name="s_CA Cases (2)_Celtic DCF_MODELO PDP III" xfId="2233"/>
    <cellStyle name="s_CA Cases (2)_Celtic DCF_ORÇ_2009" xfId="2234"/>
    <cellStyle name="s_CA Cases (2)_Celtic DCF_Pasta2" xfId="2235"/>
    <cellStyle name="s_CA Cases (2)_Comparativo VP FIN v1_So 2008" xfId="7469"/>
    <cellStyle name="s_CA Cases (2)_Comparativo VP MKT 2008 v1_So 2008" xfId="7470"/>
    <cellStyle name="s_CA Cases (2)_Comparativo VP TEC 2008 v1_So 2008" xfId="7471"/>
    <cellStyle name="s_CA Cases (2)_Comparativo VP TEC 2008_Luiz Sergio" xfId="7472"/>
    <cellStyle name="s_CA Cases (2)_Cópia de Modelo - Fluxo de Caixa Orcamento 09052009_V36_3" xfId="2236"/>
    <cellStyle name="s_CA Cases (2)_Fluxo de Caixa Orcamento FINAL_13052009" xfId="2237"/>
    <cellStyle name="s_CA Cases (2)_FM_dummyV4" xfId="2238"/>
    <cellStyle name="s_CA Cases (2)_lalur" xfId="2239"/>
    <cellStyle name="s_CA Cases (2)_Leasing_V3" xfId="2240"/>
    <cellStyle name="s_CA Cases (2)_MODELO PDP III" xfId="2241"/>
    <cellStyle name="s_CA Cases (2)_ORÇ_2009" xfId="2242"/>
    <cellStyle name="s_CA Cases (2)_Pasta2" xfId="2243"/>
    <cellStyle name="s_CA Cases (2)_Valuation Summary" xfId="2244"/>
    <cellStyle name="s_CA Cases (2)_Valuation Summary_Comparativo VP FIN v1_So 2008" xfId="7473"/>
    <cellStyle name="s_CA Cases (2)_Valuation Summary_Comparativo VP MKT 2008 v1_So 2008" xfId="7474"/>
    <cellStyle name="s_CA Cases (2)_Valuation Summary_Comparativo VP TEC 2008 v1_So 2008" xfId="7475"/>
    <cellStyle name="s_CA Cases (2)_Valuation Summary_Comparativo VP TEC 2008_Luiz Sergio" xfId="7476"/>
    <cellStyle name="s_CA Cases (2)_Valuation Summary_Cópia de Modelo - Fluxo de Caixa Orcamento 09052009_V36_3" xfId="2245"/>
    <cellStyle name="s_CA Cases (2)_Valuation Summary_Fluxo de Caixa Orcamento FINAL_13052009" xfId="2246"/>
    <cellStyle name="s_CA Cases (2)_Valuation Summary_FM_dummyV4" xfId="2247"/>
    <cellStyle name="s_CA Cases (2)_Valuation Summary_lalur" xfId="2248"/>
    <cellStyle name="s_CA Cases (2)_Valuation Summary_Leasing_V3" xfId="2249"/>
    <cellStyle name="s_CA Cases (2)_Valuation Summary_MODELO PDP III" xfId="2250"/>
    <cellStyle name="s_CA Cases (2)_Valuation Summary_ORÇ_2009" xfId="2251"/>
    <cellStyle name="s_CA Cases (2)_Valuation Summary_Pasta2" xfId="2252"/>
    <cellStyle name="s_Cal. (2)" xfId="2253"/>
    <cellStyle name="s_Cal. (2)_1" xfId="2254"/>
    <cellStyle name="s_Cal. (2)_1_Comparativo VP FIN v1_So 2008" xfId="7477"/>
    <cellStyle name="s_Cal. (2)_1_Comparativo VP MKT 2008 v1_So 2008" xfId="7478"/>
    <cellStyle name="s_Cal. (2)_1_Comparativo VP TEC 2008 v1_So 2008" xfId="7479"/>
    <cellStyle name="s_Cal. (2)_1_Comparativo VP TEC 2008_Luiz Sergio" xfId="7480"/>
    <cellStyle name="s_Cal. (2)_1_Cópia de Modelo - Fluxo de Caixa Orcamento 09052009_V36_3" xfId="2255"/>
    <cellStyle name="s_Cal. (2)_1_Fluxo de Caixa Orcamento FINAL_13052009" xfId="2256"/>
    <cellStyle name="s_Cal. (2)_1_FM_dummyV4" xfId="2257"/>
    <cellStyle name="s_Cal. (2)_1_lalur" xfId="2258"/>
    <cellStyle name="s_Cal. (2)_1_Leasing_V3" xfId="2259"/>
    <cellStyle name="s_Cal. (2)_1_MODELO PDP III" xfId="2260"/>
    <cellStyle name="s_Cal. (2)_1_ORÇ_2009" xfId="2261"/>
    <cellStyle name="s_Cal. (2)_1_Pasta2" xfId="2262"/>
    <cellStyle name="s_Cal. (2)_Comparativo VP FIN v1_So 2008" xfId="7481"/>
    <cellStyle name="s_Cal. (2)_Comparativo VP MKT 2008 v1_So 2008" xfId="7482"/>
    <cellStyle name="s_Cal. (2)_Comparativo VP TEC 2008 v1_So 2008" xfId="7483"/>
    <cellStyle name="s_Cal. (2)_Comparativo VP TEC 2008_Luiz Sergio" xfId="7484"/>
    <cellStyle name="s_Cal. (2)_Cópia de Modelo - Fluxo de Caixa Orcamento 09052009_V36_3" xfId="2263"/>
    <cellStyle name="s_Cal. (2)_Fluxo de Caixa Orcamento FINAL_13052009" xfId="2264"/>
    <cellStyle name="s_Cal. (2)_FM_dummyV4" xfId="2265"/>
    <cellStyle name="s_Cal. (2)_lalur" xfId="2266"/>
    <cellStyle name="s_Cal. (2)_Leasing_V3" xfId="2267"/>
    <cellStyle name="s_Cal. (2)_MODELO PDP III" xfId="2268"/>
    <cellStyle name="s_Cal. (2)_ORÇ_2009" xfId="2269"/>
    <cellStyle name="s_Cal. (2)_Pasta2" xfId="2270"/>
    <cellStyle name="s_Cases" xfId="2271"/>
    <cellStyle name="s_Cases (2)" xfId="2272"/>
    <cellStyle name="s_Cases (2)_1" xfId="2273"/>
    <cellStyle name="s_Cases (2)_1_Comparativo VP FIN v1_So 2008" xfId="7485"/>
    <cellStyle name="s_Cases (2)_1_Comparativo VP MKT 2008 v1_So 2008" xfId="7486"/>
    <cellStyle name="s_Cases (2)_1_Comparativo VP TEC 2008 v1_So 2008" xfId="7487"/>
    <cellStyle name="s_Cases (2)_1_Comparativo VP TEC 2008_Luiz Sergio" xfId="7488"/>
    <cellStyle name="s_Cases (2)_1_Cópia de Modelo - Fluxo de Caixa Orcamento 09052009_V36_3" xfId="2274"/>
    <cellStyle name="s_Cases (2)_1_Fluxo de Caixa Orcamento FINAL_13052009" xfId="2275"/>
    <cellStyle name="s_Cases (2)_1_FM_dummyV4" xfId="2276"/>
    <cellStyle name="s_Cases (2)_1_lalur" xfId="2277"/>
    <cellStyle name="s_Cases (2)_1_Leasing_V3" xfId="2278"/>
    <cellStyle name="s_Cases (2)_1_MODELO PDP III" xfId="2279"/>
    <cellStyle name="s_Cases (2)_1_ORÇ_2009" xfId="2280"/>
    <cellStyle name="s_Cases (2)_1_Pasta2" xfId="2281"/>
    <cellStyle name="s_Cases (2)_Celtic DCF" xfId="2282"/>
    <cellStyle name="s_Cases (2)_Celtic DCF Inputs" xfId="2283"/>
    <cellStyle name="s_Cases (2)_Celtic DCF Inputs_Comparativo VP FIN v1_So 2008" xfId="7489"/>
    <cellStyle name="s_Cases (2)_Celtic DCF Inputs_Comparativo VP MKT 2008 v1_So 2008" xfId="7490"/>
    <cellStyle name="s_Cases (2)_Celtic DCF Inputs_Comparativo VP TEC 2008 v1_So 2008" xfId="7491"/>
    <cellStyle name="s_Cases (2)_Celtic DCF Inputs_Comparativo VP TEC 2008_Luiz Sergio" xfId="7492"/>
    <cellStyle name="s_Cases (2)_Celtic DCF Inputs_Cópia de Modelo - Fluxo de Caixa Orcamento 09052009_V36_3" xfId="2284"/>
    <cellStyle name="s_Cases (2)_Celtic DCF Inputs_Fluxo de Caixa Orcamento FINAL_13052009" xfId="2285"/>
    <cellStyle name="s_Cases (2)_Celtic DCF Inputs_FM_dummyV4" xfId="2286"/>
    <cellStyle name="s_Cases (2)_Celtic DCF Inputs_lalur" xfId="2287"/>
    <cellStyle name="s_Cases (2)_Celtic DCF Inputs_Leasing_V3" xfId="2288"/>
    <cellStyle name="s_Cases (2)_Celtic DCF Inputs_MODELO PDP III" xfId="2289"/>
    <cellStyle name="s_Cases (2)_Celtic DCF Inputs_ORÇ_2009" xfId="2290"/>
    <cellStyle name="s_Cases (2)_Celtic DCF Inputs_Pasta2" xfId="2291"/>
    <cellStyle name="s_Cases (2)_Celtic DCF_Comparativo VP FIN v1_So 2008" xfId="7493"/>
    <cellStyle name="s_Cases (2)_Celtic DCF_Comparativo VP MKT 2008 v1_So 2008" xfId="7494"/>
    <cellStyle name="s_Cases (2)_Celtic DCF_Comparativo VP TEC 2008 v1_So 2008" xfId="7495"/>
    <cellStyle name="s_Cases (2)_Celtic DCF_Comparativo VP TEC 2008_Luiz Sergio" xfId="7496"/>
    <cellStyle name="s_Cases (2)_Celtic DCF_Cópia de Modelo - Fluxo de Caixa Orcamento 09052009_V36_3" xfId="2292"/>
    <cellStyle name="s_Cases (2)_Celtic DCF_Fluxo de Caixa Orcamento FINAL_13052009" xfId="2293"/>
    <cellStyle name="s_Cases (2)_Celtic DCF_FM_dummyV4" xfId="2294"/>
    <cellStyle name="s_Cases (2)_Celtic DCF_lalur" xfId="2295"/>
    <cellStyle name="s_Cases (2)_Celtic DCF_Leasing_V3" xfId="2296"/>
    <cellStyle name="s_Cases (2)_Celtic DCF_MODELO PDP III" xfId="2297"/>
    <cellStyle name="s_Cases (2)_Celtic DCF_ORÇ_2009" xfId="2298"/>
    <cellStyle name="s_Cases (2)_Celtic DCF_Pasta2" xfId="2299"/>
    <cellStyle name="s_Cases (2)_Comparativo VP FIN v1_So 2008" xfId="7497"/>
    <cellStyle name="s_Cases (2)_Comparativo VP MKT 2008 v1_So 2008" xfId="7498"/>
    <cellStyle name="s_Cases (2)_Comparativo VP TEC 2008 v1_So 2008" xfId="7499"/>
    <cellStyle name="s_Cases (2)_Comparativo VP TEC 2008_Luiz Sergio" xfId="7500"/>
    <cellStyle name="s_Cases (2)_Cópia de Modelo - Fluxo de Caixa Orcamento 09052009_V36_3" xfId="2300"/>
    <cellStyle name="s_Cases (2)_Fluxo de Caixa Orcamento FINAL_13052009" xfId="2301"/>
    <cellStyle name="s_Cases (2)_FM_dummyV4" xfId="2302"/>
    <cellStyle name="s_Cases (2)_lalur" xfId="2303"/>
    <cellStyle name="s_Cases (2)_Leasing_V3" xfId="2304"/>
    <cellStyle name="s_Cases (2)_MODELO PDP III" xfId="2305"/>
    <cellStyle name="s_Cases (2)_ORÇ_2009" xfId="2306"/>
    <cellStyle name="s_Cases (2)_Pasta2" xfId="2307"/>
    <cellStyle name="s_Cases (2)_Valuation Summary" xfId="2308"/>
    <cellStyle name="s_Cases (2)_Valuation Summary_Comparativo VP FIN v1_So 2008" xfId="7501"/>
    <cellStyle name="s_Cases (2)_Valuation Summary_Comparativo VP MKT 2008 v1_So 2008" xfId="7502"/>
    <cellStyle name="s_Cases (2)_Valuation Summary_Comparativo VP TEC 2008 v1_So 2008" xfId="7503"/>
    <cellStyle name="s_Cases (2)_Valuation Summary_Comparativo VP TEC 2008_Luiz Sergio" xfId="7504"/>
    <cellStyle name="s_Cases (2)_Valuation Summary_Cópia de Modelo - Fluxo de Caixa Orcamento 09052009_V36_3" xfId="2309"/>
    <cellStyle name="s_Cases (2)_Valuation Summary_Fluxo de Caixa Orcamento FINAL_13052009" xfId="2310"/>
    <cellStyle name="s_Cases (2)_Valuation Summary_FM_dummyV4" xfId="2311"/>
    <cellStyle name="s_Cases (2)_Valuation Summary_lalur" xfId="2312"/>
    <cellStyle name="s_Cases (2)_Valuation Summary_Leasing_V3" xfId="2313"/>
    <cellStyle name="s_Cases (2)_Valuation Summary_MODELO PDP III" xfId="2314"/>
    <cellStyle name="s_Cases (2)_Valuation Summary_ORÇ_2009" xfId="2315"/>
    <cellStyle name="s_Cases (2)_Valuation Summary_Pasta2" xfId="2316"/>
    <cellStyle name="s_Cases_1" xfId="2317"/>
    <cellStyle name="s_Cases_1_Comparativo VP FIN v1_So 2008" xfId="7505"/>
    <cellStyle name="s_Cases_1_Comparativo VP MKT 2008 v1_So 2008" xfId="7506"/>
    <cellStyle name="s_Cases_1_Comparativo VP TEC 2008 v1_So 2008" xfId="7507"/>
    <cellStyle name="s_Cases_1_Comparativo VP TEC 2008_Luiz Sergio" xfId="7508"/>
    <cellStyle name="s_Cases_1_Cópia de Modelo - Fluxo de Caixa Orcamento 09052009_V36_3" xfId="2318"/>
    <cellStyle name="s_Cases_1_Fluxo de Caixa Orcamento FINAL_13052009" xfId="2319"/>
    <cellStyle name="s_Cases_1_FM_dummyV4" xfId="2320"/>
    <cellStyle name="s_Cases_1_lalur" xfId="2321"/>
    <cellStyle name="s_Cases_1_Leasing_V3" xfId="2322"/>
    <cellStyle name="s_Cases_1_MODELO PDP III" xfId="2323"/>
    <cellStyle name="s_Cases_1_ORÇ_2009" xfId="2324"/>
    <cellStyle name="s_Cases_1_Pasta2" xfId="2325"/>
    <cellStyle name="s_Cases_2" xfId="2326"/>
    <cellStyle name="s_Cases_2_Comparativo VP FIN v1_So 2008" xfId="7509"/>
    <cellStyle name="s_Cases_2_Comparativo VP MKT 2008 v1_So 2008" xfId="7510"/>
    <cellStyle name="s_Cases_2_Comparativo VP TEC 2008 v1_So 2008" xfId="7511"/>
    <cellStyle name="s_Cases_2_Comparativo VP TEC 2008_Luiz Sergio" xfId="7512"/>
    <cellStyle name="s_Cases_2_Cópia de Modelo - Fluxo de Caixa Orcamento 09052009_V36_3" xfId="2327"/>
    <cellStyle name="s_Cases_2_Fluxo de Caixa Orcamento FINAL_13052009" xfId="2328"/>
    <cellStyle name="s_Cases_2_FM_dummyV4" xfId="2329"/>
    <cellStyle name="s_Cases_2_lalur" xfId="2330"/>
    <cellStyle name="s_Cases_2_Leasing_V3" xfId="2331"/>
    <cellStyle name="s_Cases_2_MODELO PDP III" xfId="2332"/>
    <cellStyle name="s_Cases_2_ORÇ_2009" xfId="2333"/>
    <cellStyle name="s_Cases_2_Pasta2" xfId="2334"/>
    <cellStyle name="s_Cases_AM0909" xfId="2335"/>
    <cellStyle name="s_Cases_AM0909_Comparativo VP FIN v1_So 2008" xfId="7513"/>
    <cellStyle name="s_Cases_AM0909_Comparativo VP MKT 2008 v1_So 2008" xfId="7514"/>
    <cellStyle name="s_Cases_AM0909_Comparativo VP TEC 2008 v1_So 2008" xfId="7515"/>
    <cellStyle name="s_Cases_AM0909_Comparativo VP TEC 2008_Luiz Sergio" xfId="7516"/>
    <cellStyle name="s_Cases_AM0909_Cópia de Modelo - Fluxo de Caixa Orcamento 09052009_V36_3" xfId="2336"/>
    <cellStyle name="s_Cases_AM0909_Fluxo de Caixa Orcamento FINAL_13052009" xfId="2337"/>
    <cellStyle name="s_Cases_AM0909_FM_dummyV4" xfId="2338"/>
    <cellStyle name="s_Cases_AM0909_lalur" xfId="2339"/>
    <cellStyle name="s_Cases_AM0909_Leasing_V3" xfId="2340"/>
    <cellStyle name="s_Cases_AM0909_MODELO PDP III" xfId="2341"/>
    <cellStyle name="s_Cases_AM0909_ORÇ_2009" xfId="2342"/>
    <cellStyle name="s_Cases_AM0909_Pasta2" xfId="2343"/>
    <cellStyle name="s_Cases_Brenner" xfId="2344"/>
    <cellStyle name="s_Cases_Brenner_Comparativo VP FIN v1_So 2008" xfId="7517"/>
    <cellStyle name="s_Cases_Brenner_Comparativo VP MKT 2008 v1_So 2008" xfId="7518"/>
    <cellStyle name="s_Cases_Brenner_Comparativo VP TEC 2008 v1_So 2008" xfId="7519"/>
    <cellStyle name="s_Cases_Brenner_Comparativo VP TEC 2008_Luiz Sergio" xfId="7520"/>
    <cellStyle name="s_Cases_Brenner_Cópia de Modelo - Fluxo de Caixa Orcamento 09052009_V36_3" xfId="2345"/>
    <cellStyle name="s_Cases_Brenner_Fluxo de Caixa Orcamento FINAL_13052009" xfId="2346"/>
    <cellStyle name="s_Cases_Brenner_FM_dummyV4" xfId="2347"/>
    <cellStyle name="s_Cases_Brenner_lalur" xfId="2348"/>
    <cellStyle name="s_Cases_Brenner_Leasing_V3" xfId="2349"/>
    <cellStyle name="s_Cases_Brenner_MODELO PDP III" xfId="2350"/>
    <cellStyle name="s_Cases_Brenner_ORÇ_2009" xfId="2351"/>
    <cellStyle name="s_Cases_Brenner_Pasta2" xfId="2352"/>
    <cellStyle name="s_Cases_Comparativo VP FIN v1_So 2008" xfId="7521"/>
    <cellStyle name="s_Cases_Comparativo VP MKT 2008 v1_So 2008" xfId="7522"/>
    <cellStyle name="s_Cases_Comparativo VP TEC 2008 v1_So 2008" xfId="7523"/>
    <cellStyle name="s_Cases_Comparativo VP TEC 2008_Luiz Sergio" xfId="7524"/>
    <cellStyle name="s_Cases_Cópia de Modelo - Fluxo de Caixa Orcamento 09052009_V36_3" xfId="2353"/>
    <cellStyle name="s_Cases_Fluxo de Caixa Orcamento FINAL_13052009" xfId="2354"/>
    <cellStyle name="s_Cases_FM_dummyV4" xfId="2355"/>
    <cellStyle name="s_Cases_lalur" xfId="2356"/>
    <cellStyle name="s_Cases_Leasing_V3" xfId="2357"/>
    <cellStyle name="s_Cases_MODELO PDP III" xfId="2358"/>
    <cellStyle name="s_Cases_ORÇ_2009" xfId="2359"/>
    <cellStyle name="s_Cases_Pasta2" xfId="2360"/>
    <cellStyle name="s_Caterpillar" xfId="2361"/>
    <cellStyle name="s_Caterpillar_Comparativo VP FIN v1_So 2008" xfId="7525"/>
    <cellStyle name="s_Caterpillar_Comparativo VP MKT 2008 v1_So 2008" xfId="7526"/>
    <cellStyle name="s_Caterpillar_Comparativo VP TEC 2008 v1_So 2008" xfId="7527"/>
    <cellStyle name="s_Caterpillar_Comparativo VP TEC 2008_Luiz Sergio" xfId="7528"/>
    <cellStyle name="s_Caterpillar_Cópia de Modelo - Fluxo de Caixa Orcamento 09052009_V36_3" xfId="2362"/>
    <cellStyle name="s_Caterpillar_Fluxo de Caixa Orcamento FINAL_13052009" xfId="2363"/>
    <cellStyle name="s_Caterpillar_FM_dummyV4" xfId="2364"/>
    <cellStyle name="s_Caterpillar_lalur" xfId="2365"/>
    <cellStyle name="s_Caterpillar_Leasing_V3" xfId="2366"/>
    <cellStyle name="s_Caterpillar_MODELO PDP III" xfId="2367"/>
    <cellStyle name="s_Caterpillar_ORÇ_2009" xfId="2368"/>
    <cellStyle name="s_Caterpillar_Pasta2" xfId="2369"/>
    <cellStyle name="s_Celtic DCF" xfId="2370"/>
    <cellStyle name="s_Celtic DCF Inputs" xfId="2371"/>
    <cellStyle name="s_Celtic DCF Inputs_1" xfId="2372"/>
    <cellStyle name="s_Celtic DCF Inputs_1_Comparativo VP FIN v1_So 2008" xfId="7529"/>
    <cellStyle name="s_Celtic DCF Inputs_1_Comparativo VP MKT 2008 v1_So 2008" xfId="7530"/>
    <cellStyle name="s_Celtic DCF Inputs_1_Comparativo VP TEC 2008 v1_So 2008" xfId="7531"/>
    <cellStyle name="s_Celtic DCF Inputs_1_Comparativo VP TEC 2008_Luiz Sergio" xfId="7532"/>
    <cellStyle name="s_Celtic DCF Inputs_1_Cópia de Modelo - Fluxo de Caixa Orcamento 09052009_V36_3" xfId="2373"/>
    <cellStyle name="s_Celtic DCF Inputs_1_Fluxo de Caixa Orcamento FINAL_13052009" xfId="2374"/>
    <cellStyle name="s_Celtic DCF Inputs_1_FM_dummyV4" xfId="2375"/>
    <cellStyle name="s_Celtic DCF Inputs_1_lalur" xfId="2376"/>
    <cellStyle name="s_Celtic DCF Inputs_1_Leasing_V3" xfId="2377"/>
    <cellStyle name="s_Celtic DCF Inputs_1_MODELO PDP III" xfId="2378"/>
    <cellStyle name="s_Celtic DCF Inputs_1_ORÇ_2009" xfId="2379"/>
    <cellStyle name="s_Celtic DCF Inputs_1_Pasta2" xfId="2380"/>
    <cellStyle name="s_Celtic DCF Inputs_Comparativo VP FIN v1_So 2008" xfId="7533"/>
    <cellStyle name="s_Celtic DCF Inputs_Comparativo VP MKT 2008 v1_So 2008" xfId="7534"/>
    <cellStyle name="s_Celtic DCF Inputs_Comparativo VP TEC 2008 v1_So 2008" xfId="7535"/>
    <cellStyle name="s_Celtic DCF Inputs_Comparativo VP TEC 2008_Luiz Sergio" xfId="7536"/>
    <cellStyle name="s_Celtic DCF Inputs_Cópia de Modelo - Fluxo de Caixa Orcamento 09052009_V36_3" xfId="2381"/>
    <cellStyle name="s_Celtic DCF Inputs_Fluxo de Caixa Orcamento FINAL_13052009" xfId="2382"/>
    <cellStyle name="s_Celtic DCF Inputs_FM_dummyV4" xfId="2383"/>
    <cellStyle name="s_Celtic DCF Inputs_lalur" xfId="2384"/>
    <cellStyle name="s_Celtic DCF Inputs_Leasing_V3" xfId="2385"/>
    <cellStyle name="s_Celtic DCF Inputs_MODELO PDP III" xfId="2386"/>
    <cellStyle name="s_Celtic DCF Inputs_ORÇ_2009" xfId="2387"/>
    <cellStyle name="s_Celtic DCF Inputs_Pasta2" xfId="2388"/>
    <cellStyle name="s_Celtic DCF_1" xfId="2389"/>
    <cellStyle name="s_Celtic DCF_1_Comparativo VP FIN v1_So 2008" xfId="7537"/>
    <cellStyle name="s_Celtic DCF_1_Comparativo VP MKT 2008 v1_So 2008" xfId="7538"/>
    <cellStyle name="s_Celtic DCF_1_Comparativo VP TEC 2008 v1_So 2008" xfId="7539"/>
    <cellStyle name="s_Celtic DCF_1_Comparativo VP TEC 2008_Luiz Sergio" xfId="7540"/>
    <cellStyle name="s_Celtic DCF_1_Cópia de Modelo - Fluxo de Caixa Orcamento 09052009_V36_3" xfId="2390"/>
    <cellStyle name="s_Celtic DCF_1_Fluxo de Caixa Orcamento FINAL_13052009" xfId="2391"/>
    <cellStyle name="s_Celtic DCF_1_FM_dummyV4" xfId="2392"/>
    <cellStyle name="s_Celtic DCF_1_lalur" xfId="2393"/>
    <cellStyle name="s_Celtic DCF_1_Leasing_V3" xfId="2394"/>
    <cellStyle name="s_Celtic DCF_1_MODELO PDP III" xfId="2395"/>
    <cellStyle name="s_Celtic DCF_1_ORÇ_2009" xfId="2396"/>
    <cellStyle name="s_Celtic DCF_1_Pasta2" xfId="2397"/>
    <cellStyle name="s_Celtic DCF_Comparativo VP FIN v1_So 2008" xfId="7541"/>
    <cellStyle name="s_Celtic DCF_Comparativo VP MKT 2008 v1_So 2008" xfId="7542"/>
    <cellStyle name="s_Celtic DCF_Comparativo VP TEC 2008 v1_So 2008" xfId="7543"/>
    <cellStyle name="s_Celtic DCF_Comparativo VP TEC 2008_Luiz Sergio" xfId="7544"/>
    <cellStyle name="s_Celtic DCF_Cópia de Modelo - Fluxo de Caixa Orcamento 09052009_V36_3" xfId="2398"/>
    <cellStyle name="s_Celtic DCF_Fluxo de Caixa Orcamento FINAL_13052009" xfId="2399"/>
    <cellStyle name="s_Celtic DCF_FM_dummyV4" xfId="2400"/>
    <cellStyle name="s_Celtic DCF_lalur" xfId="2401"/>
    <cellStyle name="s_Celtic DCF_Leasing_V3" xfId="2402"/>
    <cellStyle name="s_Celtic DCF_MODELO PDP III" xfId="2403"/>
    <cellStyle name="s_Celtic DCF_ORÇ_2009" xfId="2404"/>
    <cellStyle name="s_Celtic DCF_Pasta2" xfId="2405"/>
    <cellStyle name="s_Comparativo VP FIN v1_So 2008" xfId="7545"/>
    <cellStyle name="s_Comparativo VP MKT 2008 v1_So 2008" xfId="7546"/>
    <cellStyle name="s_Comparativo VP TEC 2008 v1_So 2008" xfId="7547"/>
    <cellStyle name="s_Comparativo VP TEC 2008_Luiz Sergio" xfId="7548"/>
    <cellStyle name="s_Controle - Dívidas_Orcamento" xfId="7549"/>
    <cellStyle name="s_Cópia de Modelo - Fluxo de Caixa Orcamento 09052009_V36_3" xfId="2406"/>
    <cellStyle name="s_Credit (2)" xfId="2407"/>
    <cellStyle name="s_Credit (2)_1" xfId="2408"/>
    <cellStyle name="s_Credit (2)_1_Comparativo VP FIN v1_So 2008" xfId="7550"/>
    <cellStyle name="s_Credit (2)_1_Comparativo VP MKT 2008 v1_So 2008" xfId="7551"/>
    <cellStyle name="s_Credit (2)_1_Comparativo VP TEC 2008 v1_So 2008" xfId="7552"/>
    <cellStyle name="s_Credit (2)_1_Comparativo VP TEC 2008_Luiz Sergio" xfId="7553"/>
    <cellStyle name="s_Credit (2)_1_Cópia de Modelo - Fluxo de Caixa Orcamento 09052009_V36_3" xfId="2409"/>
    <cellStyle name="s_Credit (2)_1_Fluxo de Caixa Orcamento FINAL_13052009" xfId="2410"/>
    <cellStyle name="s_Credit (2)_1_FM_dummyV4" xfId="2411"/>
    <cellStyle name="s_Credit (2)_1_lalur" xfId="2412"/>
    <cellStyle name="s_Credit (2)_1_Leasing_V3" xfId="2413"/>
    <cellStyle name="s_Credit (2)_1_MODELO PDP III" xfId="2414"/>
    <cellStyle name="s_Credit (2)_1_ORÇ_2009" xfId="2415"/>
    <cellStyle name="s_Credit (2)_1_Pasta2" xfId="2416"/>
    <cellStyle name="s_Credit (2)_2" xfId="2417"/>
    <cellStyle name="s_Credit (2)_2_Comparativo VP FIN v1_So 2008" xfId="7554"/>
    <cellStyle name="s_Credit (2)_2_Comparativo VP MKT 2008 v1_So 2008" xfId="7555"/>
    <cellStyle name="s_Credit (2)_2_Comparativo VP TEC 2008 v1_So 2008" xfId="7556"/>
    <cellStyle name="s_Credit (2)_2_Comparativo VP TEC 2008_Luiz Sergio" xfId="7557"/>
    <cellStyle name="s_Credit (2)_2_Cópia de Modelo - Fluxo de Caixa Orcamento 09052009_V36_3" xfId="2418"/>
    <cellStyle name="s_Credit (2)_2_Fluxo de Caixa Orcamento FINAL_13052009" xfId="2419"/>
    <cellStyle name="s_Credit (2)_2_FM_dummyV4" xfId="2420"/>
    <cellStyle name="s_Credit (2)_2_lalur" xfId="2421"/>
    <cellStyle name="s_Credit (2)_2_Leasing_V3" xfId="2422"/>
    <cellStyle name="s_Credit (2)_2_MODELO PDP III" xfId="2423"/>
    <cellStyle name="s_Credit (2)_2_ORÇ_2009" xfId="2424"/>
    <cellStyle name="s_Credit (2)_2_Pasta2" xfId="2425"/>
    <cellStyle name="s_Credit (2)_Comparativo VP FIN v1_So 2008" xfId="7558"/>
    <cellStyle name="s_Credit (2)_Comparativo VP MKT 2008 v1_So 2008" xfId="7559"/>
    <cellStyle name="s_Credit (2)_Comparativo VP TEC 2008 v1_So 2008" xfId="7560"/>
    <cellStyle name="s_Credit (2)_Comparativo VP TEC 2008_Luiz Sergio" xfId="7561"/>
    <cellStyle name="s_Credit (2)_Cópia de Modelo - Fluxo de Caixa Orcamento 09052009_V36_3" xfId="2426"/>
    <cellStyle name="s_Credit (2)_Fluxo de Caixa Orcamento FINAL_13052009" xfId="2427"/>
    <cellStyle name="s_Credit (2)_FM_dummyV4" xfId="2428"/>
    <cellStyle name="s_Credit (2)_lalur" xfId="2429"/>
    <cellStyle name="s_Credit (2)_Leasing_V3" xfId="2430"/>
    <cellStyle name="s_Credit (2)_MODELO PDP III" xfId="2431"/>
    <cellStyle name="s_Credit (2)_ORÇ_2009" xfId="2432"/>
    <cellStyle name="s_Credit (2)_Pasta2" xfId="2433"/>
    <cellStyle name="s_Credit Buildup (2)" xfId="2434"/>
    <cellStyle name="s_Credit Buildup (2)_1" xfId="2435"/>
    <cellStyle name="s_Credit Buildup (2)_1_Comparativo VP FIN v1_So 2008" xfId="7562"/>
    <cellStyle name="s_Credit Buildup (2)_1_Comparativo VP MKT 2008 v1_So 2008" xfId="7563"/>
    <cellStyle name="s_Credit Buildup (2)_1_Comparativo VP TEC 2008 v1_So 2008" xfId="7564"/>
    <cellStyle name="s_Credit Buildup (2)_1_Comparativo VP TEC 2008_Luiz Sergio" xfId="7565"/>
    <cellStyle name="s_Credit Buildup (2)_1_Cópia de Modelo - Fluxo de Caixa Orcamento 09052009_V36_3" xfId="2436"/>
    <cellStyle name="s_Credit Buildup (2)_1_Fluxo de Caixa Orcamento FINAL_13052009" xfId="2437"/>
    <cellStyle name="s_Credit Buildup (2)_1_FM_dummyV4" xfId="2438"/>
    <cellStyle name="s_Credit Buildup (2)_1_lalur" xfId="2439"/>
    <cellStyle name="s_Credit Buildup (2)_1_Leasing_V3" xfId="2440"/>
    <cellStyle name="s_Credit Buildup (2)_1_MODELO PDP III" xfId="2441"/>
    <cellStyle name="s_Credit Buildup (2)_1_ORÇ_2009" xfId="2442"/>
    <cellStyle name="s_Credit Buildup (2)_1_Pasta2" xfId="2443"/>
    <cellStyle name="s_Credit Buildup (2)_Celtic DCF" xfId="2444"/>
    <cellStyle name="s_Credit Buildup (2)_Celtic DCF Inputs" xfId="2445"/>
    <cellStyle name="s_Credit Buildup (2)_Celtic DCF Inputs_Comparativo VP FIN v1_So 2008" xfId="7566"/>
    <cellStyle name="s_Credit Buildup (2)_Celtic DCF Inputs_Comparativo VP MKT 2008 v1_So 2008" xfId="7567"/>
    <cellStyle name="s_Credit Buildup (2)_Celtic DCF Inputs_Comparativo VP TEC 2008 v1_So 2008" xfId="7568"/>
    <cellStyle name="s_Credit Buildup (2)_Celtic DCF Inputs_Comparativo VP TEC 2008_Luiz Sergio" xfId="7569"/>
    <cellStyle name="s_Credit Buildup (2)_Celtic DCF Inputs_Cópia de Modelo - Fluxo de Caixa Orcamento 09052009_V36_3" xfId="2446"/>
    <cellStyle name="s_Credit Buildup (2)_Celtic DCF Inputs_Fluxo de Caixa Orcamento FINAL_13052009" xfId="2447"/>
    <cellStyle name="s_Credit Buildup (2)_Celtic DCF Inputs_FM_dummyV4" xfId="2448"/>
    <cellStyle name="s_Credit Buildup (2)_Celtic DCF Inputs_lalur" xfId="2449"/>
    <cellStyle name="s_Credit Buildup (2)_Celtic DCF Inputs_Leasing_V3" xfId="2450"/>
    <cellStyle name="s_Credit Buildup (2)_Celtic DCF Inputs_MODELO PDP III" xfId="2451"/>
    <cellStyle name="s_Credit Buildup (2)_Celtic DCF Inputs_ORÇ_2009" xfId="2452"/>
    <cellStyle name="s_Credit Buildup (2)_Celtic DCF Inputs_Pasta2" xfId="2453"/>
    <cellStyle name="s_Credit Buildup (2)_Celtic DCF_Comparativo VP FIN v1_So 2008" xfId="7570"/>
    <cellStyle name="s_Credit Buildup (2)_Celtic DCF_Comparativo VP MKT 2008 v1_So 2008" xfId="7571"/>
    <cellStyle name="s_Credit Buildup (2)_Celtic DCF_Comparativo VP TEC 2008 v1_So 2008" xfId="7572"/>
    <cellStyle name="s_Credit Buildup (2)_Celtic DCF_Comparativo VP TEC 2008_Luiz Sergio" xfId="7573"/>
    <cellStyle name="s_Credit Buildup (2)_Celtic DCF_Cópia de Modelo - Fluxo de Caixa Orcamento 09052009_V36_3" xfId="2454"/>
    <cellStyle name="s_Credit Buildup (2)_Celtic DCF_Fluxo de Caixa Orcamento FINAL_13052009" xfId="2455"/>
    <cellStyle name="s_Credit Buildup (2)_Celtic DCF_FM_dummyV4" xfId="2456"/>
    <cellStyle name="s_Credit Buildup (2)_Celtic DCF_lalur" xfId="2457"/>
    <cellStyle name="s_Credit Buildup (2)_Celtic DCF_Leasing_V3" xfId="2458"/>
    <cellStyle name="s_Credit Buildup (2)_Celtic DCF_MODELO PDP III" xfId="2459"/>
    <cellStyle name="s_Credit Buildup (2)_Celtic DCF_ORÇ_2009" xfId="2460"/>
    <cellStyle name="s_Credit Buildup (2)_Celtic DCF_Pasta2" xfId="2461"/>
    <cellStyle name="s_Credit Buildup (2)_Comparativo VP FIN v1_So 2008" xfId="7574"/>
    <cellStyle name="s_Credit Buildup (2)_Comparativo VP MKT 2008 v1_So 2008" xfId="7575"/>
    <cellStyle name="s_Credit Buildup (2)_Comparativo VP TEC 2008 v1_So 2008" xfId="7576"/>
    <cellStyle name="s_Credit Buildup (2)_Comparativo VP TEC 2008_Luiz Sergio" xfId="7577"/>
    <cellStyle name="s_Credit Buildup (2)_Cópia de Modelo - Fluxo de Caixa Orcamento 09052009_V36_3" xfId="2462"/>
    <cellStyle name="s_Credit Buildup (2)_Fluxo de Caixa Orcamento FINAL_13052009" xfId="2463"/>
    <cellStyle name="s_Credit Buildup (2)_FM_dummyV4" xfId="2464"/>
    <cellStyle name="s_Credit Buildup (2)_lalur" xfId="2465"/>
    <cellStyle name="s_Credit Buildup (2)_Leasing_V3" xfId="2466"/>
    <cellStyle name="s_Credit Buildup (2)_MODELO PDP III" xfId="2467"/>
    <cellStyle name="s_Credit Buildup (2)_ORÇ_2009" xfId="2468"/>
    <cellStyle name="s_Credit Buildup (2)_Pasta2" xfId="2469"/>
    <cellStyle name="s_Credit Buildup (2)_Valuation Summary" xfId="2470"/>
    <cellStyle name="s_Credit Buildup (2)_Valuation Summary_Comparativo VP FIN v1_So 2008" xfId="7578"/>
    <cellStyle name="s_Credit Buildup (2)_Valuation Summary_Comparativo VP MKT 2008 v1_So 2008" xfId="7579"/>
    <cellStyle name="s_Credit Buildup (2)_Valuation Summary_Comparativo VP TEC 2008 v1_So 2008" xfId="7580"/>
    <cellStyle name="s_Credit Buildup (2)_Valuation Summary_Comparativo VP TEC 2008_Luiz Sergio" xfId="7581"/>
    <cellStyle name="s_Credit Buildup (2)_Valuation Summary_Cópia de Modelo - Fluxo de Caixa Orcamento 09052009_V36_3" xfId="2471"/>
    <cellStyle name="s_Credit Buildup (2)_Valuation Summary_Fluxo de Caixa Orcamento FINAL_13052009" xfId="2472"/>
    <cellStyle name="s_Credit Buildup (2)_Valuation Summary_FM_dummyV4" xfId="2473"/>
    <cellStyle name="s_Credit Buildup (2)_Valuation Summary_lalur" xfId="2474"/>
    <cellStyle name="s_Credit Buildup (2)_Valuation Summary_Leasing_V3" xfId="2475"/>
    <cellStyle name="s_Credit Buildup (2)_Valuation Summary_MODELO PDP III" xfId="2476"/>
    <cellStyle name="s_Credit Buildup (2)_Valuation Summary_ORÇ_2009" xfId="2477"/>
    <cellStyle name="s_Credit Buildup (2)_Valuation Summary_Pasta2" xfId="2478"/>
    <cellStyle name="s_Credit Graph" xfId="2479"/>
    <cellStyle name="s_Credit Graph_1" xfId="2480"/>
    <cellStyle name="s_Credit Graph_1_Comparativo VP FIN v1_So 2008" xfId="7582"/>
    <cellStyle name="s_Credit Graph_1_Comparativo VP MKT 2008 v1_So 2008" xfId="7583"/>
    <cellStyle name="s_Credit Graph_1_Comparativo VP TEC 2008 v1_So 2008" xfId="7584"/>
    <cellStyle name="s_Credit Graph_1_Comparativo VP TEC 2008_Luiz Sergio" xfId="7585"/>
    <cellStyle name="s_Credit Graph_1_Cópia de Modelo - Fluxo de Caixa Orcamento 09052009_V36_3" xfId="2481"/>
    <cellStyle name="s_Credit Graph_1_Fluxo de Caixa Orcamento FINAL_13052009" xfId="2482"/>
    <cellStyle name="s_Credit Graph_1_FM_dummyV4" xfId="2483"/>
    <cellStyle name="s_Credit Graph_1_lalur" xfId="2484"/>
    <cellStyle name="s_Credit Graph_1_Leasing_V3" xfId="2485"/>
    <cellStyle name="s_Credit Graph_1_MODELO PDP III" xfId="2486"/>
    <cellStyle name="s_Credit Graph_1_ORÇ_2009" xfId="2487"/>
    <cellStyle name="s_Credit Graph_1_Pasta2" xfId="2488"/>
    <cellStyle name="s_Credit Graph_2" xfId="2489"/>
    <cellStyle name="s_Credit Graph_2_Comparativo VP FIN v1_So 2008" xfId="7586"/>
    <cellStyle name="s_Credit Graph_2_Comparativo VP MKT 2008 v1_So 2008" xfId="7587"/>
    <cellStyle name="s_Credit Graph_2_Comparativo VP TEC 2008 v1_So 2008" xfId="7588"/>
    <cellStyle name="s_Credit Graph_2_Comparativo VP TEC 2008_Luiz Sergio" xfId="7589"/>
    <cellStyle name="s_Credit Graph_2_Cópia de Modelo - Fluxo de Caixa Orcamento 09052009_V36_3" xfId="2490"/>
    <cellStyle name="s_Credit Graph_2_Fluxo de Caixa Orcamento FINAL_13052009" xfId="2491"/>
    <cellStyle name="s_Credit Graph_2_FM_dummyV4" xfId="2492"/>
    <cellStyle name="s_Credit Graph_2_lalur" xfId="2493"/>
    <cellStyle name="s_Credit Graph_2_Leasing_V3" xfId="2494"/>
    <cellStyle name="s_Credit Graph_2_MODELO PDP III" xfId="2495"/>
    <cellStyle name="s_Credit Graph_2_ORÇ_2009" xfId="2496"/>
    <cellStyle name="s_Credit Graph_2_Pasta2" xfId="2497"/>
    <cellStyle name="s_Credit Graph_Comparativo VP FIN v1_So 2008" xfId="7590"/>
    <cellStyle name="s_Credit Graph_Comparativo VP MKT 2008 v1_So 2008" xfId="7591"/>
    <cellStyle name="s_Credit Graph_Comparativo VP TEC 2008 v1_So 2008" xfId="7592"/>
    <cellStyle name="s_Credit Graph_Comparativo VP TEC 2008_Luiz Sergio" xfId="7593"/>
    <cellStyle name="s_Credit Graph_Cópia de Modelo - Fluxo de Caixa Orcamento 09052009_V36_3" xfId="2498"/>
    <cellStyle name="s_Credit Graph_Fluxo de Caixa Orcamento FINAL_13052009" xfId="2499"/>
    <cellStyle name="s_Credit Graph_FM_dummyV4" xfId="2500"/>
    <cellStyle name="s_Credit Graph_lalur" xfId="2501"/>
    <cellStyle name="s_Credit Graph_Leasing_V3" xfId="2502"/>
    <cellStyle name="s_Credit Graph_MODELO PDP III" xfId="2503"/>
    <cellStyle name="s_Credit Graph_ORÇ_2009" xfId="2504"/>
    <cellStyle name="s_Credit Graph_Pasta2" xfId="2505"/>
    <cellStyle name="s_CredSens" xfId="2506"/>
    <cellStyle name="s_CredSens_1" xfId="2507"/>
    <cellStyle name="s_CredSens_1_Comparativo VP FIN v1_So 2008" xfId="7594"/>
    <cellStyle name="s_CredSens_1_Comparativo VP MKT 2008 v1_So 2008" xfId="7595"/>
    <cellStyle name="s_CredSens_1_Comparativo VP TEC 2008 v1_So 2008" xfId="7596"/>
    <cellStyle name="s_CredSens_1_Comparativo VP TEC 2008_Luiz Sergio" xfId="7597"/>
    <cellStyle name="s_CredSens_1_Cópia de Modelo - Fluxo de Caixa Orcamento 09052009_V36_3" xfId="2508"/>
    <cellStyle name="s_CredSens_1_Fluxo de Caixa Orcamento FINAL_13052009" xfId="2509"/>
    <cellStyle name="s_CredSens_1_FM_dummyV4" xfId="2510"/>
    <cellStyle name="s_CredSens_1_lalur" xfId="2511"/>
    <cellStyle name="s_CredSens_1_Leasing_V3" xfId="2512"/>
    <cellStyle name="s_CredSens_1_MODELO PDP III" xfId="2513"/>
    <cellStyle name="s_CredSens_1_ORÇ_2009" xfId="2514"/>
    <cellStyle name="s_CredSens_1_Pasta2" xfId="2515"/>
    <cellStyle name="s_CredSens_2" xfId="2516"/>
    <cellStyle name="s_CredSens_2_Comparativo VP FIN v1_So 2008" xfId="7598"/>
    <cellStyle name="s_CredSens_2_Comparativo VP MKT 2008 v1_So 2008" xfId="7599"/>
    <cellStyle name="s_CredSens_2_Comparativo VP TEC 2008 v1_So 2008" xfId="7600"/>
    <cellStyle name="s_CredSens_2_Comparativo VP TEC 2008_Luiz Sergio" xfId="7601"/>
    <cellStyle name="s_CredSens_2_Cópia de Modelo - Fluxo de Caixa Orcamento 09052009_V36_3" xfId="2517"/>
    <cellStyle name="s_CredSens_2_Fluxo de Caixa Orcamento FINAL_13052009" xfId="2518"/>
    <cellStyle name="s_CredSens_2_FM_dummyV4" xfId="2519"/>
    <cellStyle name="s_CredSens_2_lalur" xfId="2520"/>
    <cellStyle name="s_CredSens_2_Leasing_V3" xfId="2521"/>
    <cellStyle name="s_CredSens_2_MODELO PDP III" xfId="2522"/>
    <cellStyle name="s_CredSens_2_ORÇ_2009" xfId="2523"/>
    <cellStyle name="s_CredSens_2_Pasta2" xfId="2524"/>
    <cellStyle name="s_CredSens_Celtic DCF" xfId="2525"/>
    <cellStyle name="s_CredSens_Celtic DCF Inputs" xfId="2526"/>
    <cellStyle name="s_CredSens_Celtic DCF Inputs_Comparativo VP FIN v1_So 2008" xfId="7602"/>
    <cellStyle name="s_CredSens_Celtic DCF Inputs_Comparativo VP MKT 2008 v1_So 2008" xfId="7603"/>
    <cellStyle name="s_CredSens_Celtic DCF Inputs_Comparativo VP TEC 2008 v1_So 2008" xfId="7604"/>
    <cellStyle name="s_CredSens_Celtic DCF Inputs_Comparativo VP TEC 2008_Luiz Sergio" xfId="7605"/>
    <cellStyle name="s_CredSens_Celtic DCF Inputs_Cópia de Modelo - Fluxo de Caixa Orcamento 09052009_V36_3" xfId="2527"/>
    <cellStyle name="s_CredSens_Celtic DCF Inputs_Fluxo de Caixa Orcamento FINAL_13052009" xfId="2528"/>
    <cellStyle name="s_CredSens_Celtic DCF Inputs_FM_dummyV4" xfId="2529"/>
    <cellStyle name="s_CredSens_Celtic DCF Inputs_lalur" xfId="2530"/>
    <cellStyle name="s_CredSens_Celtic DCF Inputs_Leasing_V3" xfId="2531"/>
    <cellStyle name="s_CredSens_Celtic DCF Inputs_MODELO PDP III" xfId="2532"/>
    <cellStyle name="s_CredSens_Celtic DCF Inputs_ORÇ_2009" xfId="2533"/>
    <cellStyle name="s_CredSens_Celtic DCF Inputs_Pasta2" xfId="2534"/>
    <cellStyle name="s_CredSens_Celtic DCF_Comparativo VP FIN v1_So 2008" xfId="7606"/>
    <cellStyle name="s_CredSens_Celtic DCF_Comparativo VP MKT 2008 v1_So 2008" xfId="7607"/>
    <cellStyle name="s_CredSens_Celtic DCF_Comparativo VP TEC 2008 v1_So 2008" xfId="7608"/>
    <cellStyle name="s_CredSens_Celtic DCF_Comparativo VP TEC 2008_Luiz Sergio" xfId="7609"/>
    <cellStyle name="s_CredSens_Celtic DCF_Cópia de Modelo - Fluxo de Caixa Orcamento 09052009_V36_3" xfId="2535"/>
    <cellStyle name="s_CredSens_Celtic DCF_Fluxo de Caixa Orcamento FINAL_13052009" xfId="2536"/>
    <cellStyle name="s_CredSens_Celtic DCF_FM_dummyV4" xfId="2537"/>
    <cellStyle name="s_CredSens_Celtic DCF_lalur" xfId="2538"/>
    <cellStyle name="s_CredSens_Celtic DCF_Leasing_V3" xfId="2539"/>
    <cellStyle name="s_CredSens_Celtic DCF_MODELO PDP III" xfId="2540"/>
    <cellStyle name="s_CredSens_Celtic DCF_ORÇ_2009" xfId="2541"/>
    <cellStyle name="s_CredSens_Celtic DCF_Pasta2" xfId="2542"/>
    <cellStyle name="s_CredSens_Comparativo VP FIN v1_So 2008" xfId="7610"/>
    <cellStyle name="s_CredSens_Comparativo VP MKT 2008 v1_So 2008" xfId="7611"/>
    <cellStyle name="s_CredSens_Comparativo VP TEC 2008 v1_So 2008" xfId="7612"/>
    <cellStyle name="s_CredSens_Comparativo VP TEC 2008_Luiz Sergio" xfId="7613"/>
    <cellStyle name="s_CredSens_Cópia de Modelo - Fluxo de Caixa Orcamento 09052009_V36_3" xfId="2543"/>
    <cellStyle name="s_CredSens_Fluxo de Caixa Orcamento FINAL_13052009" xfId="2544"/>
    <cellStyle name="s_CredSens_FM_dummyV4" xfId="2545"/>
    <cellStyle name="s_CredSens_lalur" xfId="2546"/>
    <cellStyle name="s_CredSens_Leasing_V3" xfId="2547"/>
    <cellStyle name="s_CredSens_MODELO PDP III" xfId="2548"/>
    <cellStyle name="s_CredSens_ORÇ_2009" xfId="2549"/>
    <cellStyle name="s_CredSens_Pasta2" xfId="2550"/>
    <cellStyle name="s_CredSens_Valuation Summary" xfId="2551"/>
    <cellStyle name="s_CredSens_Valuation Summary_Comparativo VP FIN v1_So 2008" xfId="7614"/>
    <cellStyle name="s_CredSens_Valuation Summary_Comparativo VP MKT 2008 v1_So 2008" xfId="7615"/>
    <cellStyle name="s_CredSens_Valuation Summary_Comparativo VP TEC 2008 v1_So 2008" xfId="7616"/>
    <cellStyle name="s_CredSens_Valuation Summary_Comparativo VP TEC 2008_Luiz Sergio" xfId="7617"/>
    <cellStyle name="s_CredSens_Valuation Summary_Cópia de Modelo - Fluxo de Caixa Orcamento 09052009_V36_3" xfId="2552"/>
    <cellStyle name="s_CredSens_Valuation Summary_Fluxo de Caixa Orcamento FINAL_13052009" xfId="2553"/>
    <cellStyle name="s_CredSens_Valuation Summary_FM_dummyV4" xfId="2554"/>
    <cellStyle name="s_CredSens_Valuation Summary_lalur" xfId="2555"/>
    <cellStyle name="s_CredSens_Valuation Summary_Leasing_V3" xfId="2556"/>
    <cellStyle name="s_CredSens_Valuation Summary_MODELO PDP III" xfId="2557"/>
    <cellStyle name="s_CredSens_Valuation Summary_ORÇ_2009" xfId="2558"/>
    <cellStyle name="s_CredSens_Valuation Summary_Pasta2" xfId="2559"/>
    <cellStyle name="s_Daily Treasury Report- Fevereiro" xfId="2560"/>
    <cellStyle name="s_Daily Treasury Report- Fevereiro_BNDES - Calculo novo" xfId="7618"/>
    <cellStyle name="s_Daily Treasury Report- Fevereiro_BNDES - NOVO" xfId="7619"/>
    <cellStyle name="s_Daily Treasury Report- Fevereiro_Controle Dívida LP" xfId="7620"/>
    <cellStyle name="s_Daily Treasury Report- Fevereiro_Controle Dívida LP - NOVO" xfId="7621"/>
    <cellStyle name="s_Daily Treasury Report- Fevereiro_Controle Empréstimos" xfId="7622"/>
    <cellStyle name="s_Daily Treasury Report- Fevereiro_Emprest CSFB OK" xfId="7623"/>
    <cellStyle name="s_Daily Treasury Report- Fevereiro_Novo Financiamento BNDES" xfId="7624"/>
    <cellStyle name="s_Daily Treasury Report- Fevereiro_Suporte DFs - V2.0" xfId="7625"/>
    <cellStyle name="s_Daily Treasury Report- Fevereiro_teste" xfId="7626"/>
    <cellStyle name="s_DCF" xfId="2561"/>
    <cellStyle name="s_DCF Inputs" xfId="2562"/>
    <cellStyle name="s_DCF Inputs (2)" xfId="2563"/>
    <cellStyle name="s_DCF Inputs (2)_1" xfId="2564"/>
    <cellStyle name="s_DCF Inputs (2)_1_Celtic DCF" xfId="2565"/>
    <cellStyle name="s_DCF Inputs (2)_1_Celtic DCF Inputs" xfId="2566"/>
    <cellStyle name="s_DCF Inputs (2)_1_Celtic DCF Inputs_Comparativo VP FIN v1_So 2008" xfId="7627"/>
    <cellStyle name="s_DCF Inputs (2)_1_Celtic DCF Inputs_Comparativo VP MKT 2008 v1_So 2008" xfId="7628"/>
    <cellStyle name="s_DCF Inputs (2)_1_Celtic DCF Inputs_Comparativo VP TEC 2008 v1_So 2008" xfId="7629"/>
    <cellStyle name="s_DCF Inputs (2)_1_Celtic DCF Inputs_Comparativo VP TEC 2008_Luiz Sergio" xfId="7630"/>
    <cellStyle name="s_DCF Inputs (2)_1_Celtic DCF Inputs_Cópia de Modelo - Fluxo de Caixa Orcamento 09052009_V36_3" xfId="2567"/>
    <cellStyle name="s_DCF Inputs (2)_1_Celtic DCF Inputs_Fluxo de Caixa Orcamento FINAL_13052009" xfId="2568"/>
    <cellStyle name="s_DCF Inputs (2)_1_Celtic DCF Inputs_FM_dummyV4" xfId="2569"/>
    <cellStyle name="s_DCF Inputs (2)_1_Celtic DCF Inputs_lalur" xfId="2570"/>
    <cellStyle name="s_DCF Inputs (2)_1_Celtic DCF Inputs_Leasing_V3" xfId="2571"/>
    <cellStyle name="s_DCF Inputs (2)_1_Celtic DCF Inputs_MODELO PDP III" xfId="2572"/>
    <cellStyle name="s_DCF Inputs (2)_1_Celtic DCF Inputs_ORÇ_2009" xfId="2573"/>
    <cellStyle name="s_DCF Inputs (2)_1_Celtic DCF Inputs_Pasta2" xfId="2574"/>
    <cellStyle name="s_DCF Inputs (2)_1_Celtic DCF_Comparativo VP FIN v1_So 2008" xfId="7631"/>
    <cellStyle name="s_DCF Inputs (2)_1_Celtic DCF_Comparativo VP MKT 2008 v1_So 2008" xfId="7632"/>
    <cellStyle name="s_DCF Inputs (2)_1_Celtic DCF_Comparativo VP TEC 2008 v1_So 2008" xfId="7633"/>
    <cellStyle name="s_DCF Inputs (2)_1_Celtic DCF_Comparativo VP TEC 2008_Luiz Sergio" xfId="7634"/>
    <cellStyle name="s_DCF Inputs (2)_1_Celtic DCF_Cópia de Modelo - Fluxo de Caixa Orcamento 09052009_V36_3" xfId="2575"/>
    <cellStyle name="s_DCF Inputs (2)_1_Celtic DCF_Fluxo de Caixa Orcamento FINAL_13052009" xfId="2576"/>
    <cellStyle name="s_DCF Inputs (2)_1_Celtic DCF_FM_dummyV4" xfId="2577"/>
    <cellStyle name="s_DCF Inputs (2)_1_Celtic DCF_lalur" xfId="2578"/>
    <cellStyle name="s_DCF Inputs (2)_1_Celtic DCF_Leasing_V3" xfId="2579"/>
    <cellStyle name="s_DCF Inputs (2)_1_Celtic DCF_MODELO PDP III" xfId="2580"/>
    <cellStyle name="s_DCF Inputs (2)_1_Celtic DCF_ORÇ_2009" xfId="2581"/>
    <cellStyle name="s_DCF Inputs (2)_1_Celtic DCF_Pasta2" xfId="2582"/>
    <cellStyle name="s_DCF Inputs (2)_1_Comparativo VP FIN v1_So 2008" xfId="7635"/>
    <cellStyle name="s_DCF Inputs (2)_1_Comparativo VP MKT 2008 v1_So 2008" xfId="7636"/>
    <cellStyle name="s_DCF Inputs (2)_1_Comparativo VP TEC 2008 v1_So 2008" xfId="7637"/>
    <cellStyle name="s_DCF Inputs (2)_1_Comparativo VP TEC 2008_Luiz Sergio" xfId="7638"/>
    <cellStyle name="s_DCF Inputs (2)_1_Cópia de Modelo - Fluxo de Caixa Orcamento 09052009_V36_3" xfId="2583"/>
    <cellStyle name="s_DCF Inputs (2)_1_Fluxo de Caixa Orcamento FINAL_13052009" xfId="2584"/>
    <cellStyle name="s_DCF Inputs (2)_1_FM_dummyV4" xfId="2585"/>
    <cellStyle name="s_DCF Inputs (2)_1_lalur" xfId="2586"/>
    <cellStyle name="s_DCF Inputs (2)_1_Leasing_V3" xfId="2587"/>
    <cellStyle name="s_DCF Inputs (2)_1_MODELO PDP III" xfId="2588"/>
    <cellStyle name="s_DCF Inputs (2)_1_ORÇ_2009" xfId="2589"/>
    <cellStyle name="s_DCF Inputs (2)_1_Pasta2" xfId="2590"/>
    <cellStyle name="s_DCF Inputs (2)_1_Valuation Summary" xfId="2591"/>
    <cellStyle name="s_DCF Inputs (2)_1_Valuation Summary_Comparativo VP FIN v1_So 2008" xfId="7639"/>
    <cellStyle name="s_DCF Inputs (2)_1_Valuation Summary_Comparativo VP MKT 2008 v1_So 2008" xfId="7640"/>
    <cellStyle name="s_DCF Inputs (2)_1_Valuation Summary_Comparativo VP TEC 2008 v1_So 2008" xfId="7641"/>
    <cellStyle name="s_DCF Inputs (2)_1_Valuation Summary_Comparativo VP TEC 2008_Luiz Sergio" xfId="7642"/>
    <cellStyle name="s_DCF Inputs (2)_1_Valuation Summary_Cópia de Modelo - Fluxo de Caixa Orcamento 09052009_V36_3" xfId="2592"/>
    <cellStyle name="s_DCF Inputs (2)_1_Valuation Summary_Fluxo de Caixa Orcamento FINAL_13052009" xfId="2593"/>
    <cellStyle name="s_DCF Inputs (2)_1_Valuation Summary_FM_dummyV4" xfId="2594"/>
    <cellStyle name="s_DCF Inputs (2)_1_Valuation Summary_lalur" xfId="2595"/>
    <cellStyle name="s_DCF Inputs (2)_1_Valuation Summary_Leasing_V3" xfId="2596"/>
    <cellStyle name="s_DCF Inputs (2)_1_Valuation Summary_MODELO PDP III" xfId="2597"/>
    <cellStyle name="s_DCF Inputs (2)_1_Valuation Summary_ORÇ_2009" xfId="2598"/>
    <cellStyle name="s_DCF Inputs (2)_1_Valuation Summary_Pasta2" xfId="2599"/>
    <cellStyle name="s_DCF Inputs (2)_Comparativo VP FIN v1_So 2008" xfId="7643"/>
    <cellStyle name="s_DCF Inputs (2)_Comparativo VP MKT 2008 v1_So 2008" xfId="7644"/>
    <cellStyle name="s_DCF Inputs (2)_Comparativo VP TEC 2008 v1_So 2008" xfId="7645"/>
    <cellStyle name="s_DCF Inputs (2)_Comparativo VP TEC 2008_Luiz Sergio" xfId="7646"/>
    <cellStyle name="s_DCF Inputs (2)_Cópia de Modelo - Fluxo de Caixa Orcamento 09052009_V36_3" xfId="2600"/>
    <cellStyle name="s_DCF Inputs (2)_Fluxo de Caixa Orcamento FINAL_13052009" xfId="2601"/>
    <cellStyle name="s_DCF Inputs (2)_FM_dummyV4" xfId="2602"/>
    <cellStyle name="s_DCF Inputs (2)_lalur" xfId="2603"/>
    <cellStyle name="s_DCF Inputs (2)_Leasing_V3" xfId="2604"/>
    <cellStyle name="s_DCF Inputs (2)_MODELO PDP III" xfId="2605"/>
    <cellStyle name="s_DCF Inputs (2)_ORÇ_2009" xfId="2606"/>
    <cellStyle name="s_DCF Inputs (2)_Pasta2" xfId="2607"/>
    <cellStyle name="s_DCF Inputs_1" xfId="2608"/>
    <cellStyle name="s_DCF Inputs_1_Comparativo VP FIN v1_So 2008" xfId="7647"/>
    <cellStyle name="s_DCF Inputs_1_Comparativo VP MKT 2008 v1_So 2008" xfId="7648"/>
    <cellStyle name="s_DCF Inputs_1_Comparativo VP TEC 2008 v1_So 2008" xfId="7649"/>
    <cellStyle name="s_DCF Inputs_1_Comparativo VP TEC 2008_Luiz Sergio" xfId="7650"/>
    <cellStyle name="s_DCF Inputs_1_Cópia de Modelo - Fluxo de Caixa Orcamento 09052009_V36_3" xfId="2609"/>
    <cellStyle name="s_DCF Inputs_1_Fluxo de Caixa Orcamento FINAL_13052009" xfId="2610"/>
    <cellStyle name="s_DCF Inputs_1_FM_dummyV4" xfId="2611"/>
    <cellStyle name="s_DCF Inputs_1_lalur" xfId="2612"/>
    <cellStyle name="s_DCF Inputs_1_Leasing_V3" xfId="2613"/>
    <cellStyle name="s_DCF Inputs_1_MODELO PDP III" xfId="2614"/>
    <cellStyle name="s_DCF Inputs_1_ORÇ_2009" xfId="2615"/>
    <cellStyle name="s_DCF Inputs_1_Pasta2" xfId="2616"/>
    <cellStyle name="s_DCF Inputs_2" xfId="2617"/>
    <cellStyle name="s_DCF Inputs_2_Comparativo VP FIN v1_So 2008" xfId="7651"/>
    <cellStyle name="s_DCF Inputs_2_Comparativo VP MKT 2008 v1_So 2008" xfId="7652"/>
    <cellStyle name="s_DCF Inputs_2_Comparativo VP TEC 2008 v1_So 2008" xfId="7653"/>
    <cellStyle name="s_DCF Inputs_2_Comparativo VP TEC 2008_Luiz Sergio" xfId="7654"/>
    <cellStyle name="s_DCF Inputs_2_Cópia de Modelo - Fluxo de Caixa Orcamento 09052009_V36_3" xfId="2618"/>
    <cellStyle name="s_DCF Inputs_2_Fluxo de Caixa Orcamento FINAL_13052009" xfId="2619"/>
    <cellStyle name="s_DCF Inputs_2_FM_dummyV4" xfId="2620"/>
    <cellStyle name="s_DCF Inputs_2_lalur" xfId="2621"/>
    <cellStyle name="s_DCF Inputs_2_Leasing_V3" xfId="2622"/>
    <cellStyle name="s_DCF Inputs_2_MODELO PDP III" xfId="2623"/>
    <cellStyle name="s_DCF Inputs_2_ORÇ_2009" xfId="2624"/>
    <cellStyle name="s_DCF Inputs_2_Pasta2" xfId="2625"/>
    <cellStyle name="s_DCF Inputs_AM0909" xfId="2626"/>
    <cellStyle name="s_DCF Inputs_AM0909_Comparativo VP FIN v1_So 2008" xfId="7655"/>
    <cellStyle name="s_DCF Inputs_AM0909_Comparativo VP MKT 2008 v1_So 2008" xfId="7656"/>
    <cellStyle name="s_DCF Inputs_AM0909_Comparativo VP TEC 2008 v1_So 2008" xfId="7657"/>
    <cellStyle name="s_DCF Inputs_AM0909_Comparativo VP TEC 2008_Luiz Sergio" xfId="7658"/>
    <cellStyle name="s_DCF Inputs_AM0909_Cópia de Modelo - Fluxo de Caixa Orcamento 09052009_V36_3" xfId="2627"/>
    <cellStyle name="s_DCF Inputs_AM0909_Fluxo de Caixa Orcamento FINAL_13052009" xfId="2628"/>
    <cellStyle name="s_DCF Inputs_AM0909_FM_dummyV4" xfId="2629"/>
    <cellStyle name="s_DCF Inputs_AM0909_lalur" xfId="2630"/>
    <cellStyle name="s_DCF Inputs_AM0909_Leasing_V3" xfId="2631"/>
    <cellStyle name="s_DCF Inputs_AM0909_MODELO PDP III" xfId="2632"/>
    <cellStyle name="s_DCF Inputs_AM0909_ORÇ_2009" xfId="2633"/>
    <cellStyle name="s_DCF Inputs_AM0909_Pasta2" xfId="2634"/>
    <cellStyle name="s_DCF Inputs_Brenner" xfId="2635"/>
    <cellStyle name="s_DCF Inputs_Brenner_Comparativo VP FIN v1_So 2008" xfId="7659"/>
    <cellStyle name="s_DCF Inputs_Brenner_Comparativo VP MKT 2008 v1_So 2008" xfId="7660"/>
    <cellStyle name="s_DCF Inputs_Brenner_Comparativo VP TEC 2008 v1_So 2008" xfId="7661"/>
    <cellStyle name="s_DCF Inputs_Brenner_Comparativo VP TEC 2008_Luiz Sergio" xfId="7662"/>
    <cellStyle name="s_DCF Inputs_Brenner_Cópia de Modelo - Fluxo de Caixa Orcamento 09052009_V36_3" xfId="2636"/>
    <cellStyle name="s_DCF Inputs_Brenner_Fluxo de Caixa Orcamento FINAL_13052009" xfId="2637"/>
    <cellStyle name="s_DCF Inputs_Brenner_FM_dummyV4" xfId="2638"/>
    <cellStyle name="s_DCF Inputs_Brenner_lalur" xfId="2639"/>
    <cellStyle name="s_DCF Inputs_Brenner_Leasing_V3" xfId="2640"/>
    <cellStyle name="s_DCF Inputs_Brenner_MODELO PDP III" xfId="2641"/>
    <cellStyle name="s_DCF Inputs_Brenner_ORÇ_2009" xfId="2642"/>
    <cellStyle name="s_DCF Inputs_Brenner_Pasta2" xfId="2643"/>
    <cellStyle name="s_DCF Inputs_Comparativo VP FIN v1_So 2008" xfId="7663"/>
    <cellStyle name="s_DCF Inputs_Comparativo VP MKT 2008 v1_So 2008" xfId="7664"/>
    <cellStyle name="s_DCF Inputs_Comparativo VP TEC 2008 v1_So 2008" xfId="7665"/>
    <cellStyle name="s_DCF Inputs_Comparativo VP TEC 2008_Luiz Sergio" xfId="7666"/>
    <cellStyle name="s_DCF Inputs_Cópia de Modelo - Fluxo de Caixa Orcamento 09052009_V36_3" xfId="2644"/>
    <cellStyle name="s_DCF Inputs_Fluxo de Caixa Orcamento FINAL_13052009" xfId="2645"/>
    <cellStyle name="s_DCF Inputs_FM_dummyV4" xfId="2646"/>
    <cellStyle name="s_DCF Inputs_lalur" xfId="2647"/>
    <cellStyle name="s_DCF Inputs_Leasing_V3" xfId="2648"/>
    <cellStyle name="s_DCF Inputs_MODELO PDP III" xfId="2649"/>
    <cellStyle name="s_DCF Inputs_ORÇ_2009" xfId="2650"/>
    <cellStyle name="s_DCF Inputs_Pasta2" xfId="2651"/>
    <cellStyle name="s_DCF Matrix" xfId="2652"/>
    <cellStyle name="s_DCF Matrix (2)" xfId="2653"/>
    <cellStyle name="s_DCF Matrix (2)_1" xfId="2654"/>
    <cellStyle name="s_DCF Matrix (2)_1_Comparativo VP FIN v1_So 2008" xfId="7667"/>
    <cellStyle name="s_DCF Matrix (2)_1_Comparativo VP MKT 2008 v1_So 2008" xfId="7668"/>
    <cellStyle name="s_DCF Matrix (2)_1_Comparativo VP TEC 2008 v1_So 2008" xfId="7669"/>
    <cellStyle name="s_DCF Matrix (2)_1_Comparativo VP TEC 2008_Luiz Sergio" xfId="7670"/>
    <cellStyle name="s_DCF Matrix (2)_1_Cópia de Modelo - Fluxo de Caixa Orcamento 09052009_V36_3" xfId="2655"/>
    <cellStyle name="s_DCF Matrix (2)_1_Fluxo de Caixa Orcamento FINAL_13052009" xfId="2656"/>
    <cellStyle name="s_DCF Matrix (2)_1_FM_dummyV4" xfId="2657"/>
    <cellStyle name="s_DCF Matrix (2)_1_lalur" xfId="2658"/>
    <cellStyle name="s_DCF Matrix (2)_1_Leasing_V3" xfId="2659"/>
    <cellStyle name="s_DCF Matrix (2)_1_MODELO PDP III" xfId="2660"/>
    <cellStyle name="s_DCF Matrix (2)_1_ORÇ_2009" xfId="2661"/>
    <cellStyle name="s_DCF Matrix (2)_1_Pasta2" xfId="2662"/>
    <cellStyle name="s_DCF Matrix (2)_2" xfId="2663"/>
    <cellStyle name="s_DCF Matrix (2)_2_Celtic DCF" xfId="2664"/>
    <cellStyle name="s_DCF Matrix (2)_2_Celtic DCF Inputs" xfId="2665"/>
    <cellStyle name="s_DCF Matrix (2)_2_Celtic DCF Inputs_Comparativo VP FIN v1_So 2008" xfId="7671"/>
    <cellStyle name="s_DCF Matrix (2)_2_Celtic DCF Inputs_Comparativo VP MKT 2008 v1_So 2008" xfId="7672"/>
    <cellStyle name="s_DCF Matrix (2)_2_Celtic DCF Inputs_Comparativo VP TEC 2008 v1_So 2008" xfId="7673"/>
    <cellStyle name="s_DCF Matrix (2)_2_Celtic DCF Inputs_Comparativo VP TEC 2008_Luiz Sergio" xfId="7674"/>
    <cellStyle name="s_DCF Matrix (2)_2_Celtic DCF Inputs_Cópia de Modelo - Fluxo de Caixa Orcamento 09052009_V36_3" xfId="2666"/>
    <cellStyle name="s_DCF Matrix (2)_2_Celtic DCF Inputs_Fluxo de Caixa Orcamento FINAL_13052009" xfId="2667"/>
    <cellStyle name="s_DCF Matrix (2)_2_Celtic DCF Inputs_FM_dummyV4" xfId="2668"/>
    <cellStyle name="s_DCF Matrix (2)_2_Celtic DCF Inputs_lalur" xfId="2669"/>
    <cellStyle name="s_DCF Matrix (2)_2_Celtic DCF Inputs_Leasing_V3" xfId="2670"/>
    <cellStyle name="s_DCF Matrix (2)_2_Celtic DCF Inputs_MODELO PDP III" xfId="2671"/>
    <cellStyle name="s_DCF Matrix (2)_2_Celtic DCF Inputs_ORÇ_2009" xfId="2672"/>
    <cellStyle name="s_DCF Matrix (2)_2_Celtic DCF Inputs_Pasta2" xfId="2673"/>
    <cellStyle name="s_DCF Matrix (2)_2_Celtic DCF_Comparativo VP FIN v1_So 2008" xfId="7675"/>
    <cellStyle name="s_DCF Matrix (2)_2_Celtic DCF_Comparativo VP MKT 2008 v1_So 2008" xfId="7676"/>
    <cellStyle name="s_DCF Matrix (2)_2_Celtic DCF_Comparativo VP TEC 2008 v1_So 2008" xfId="7677"/>
    <cellStyle name="s_DCF Matrix (2)_2_Celtic DCF_Comparativo VP TEC 2008_Luiz Sergio" xfId="7678"/>
    <cellStyle name="s_DCF Matrix (2)_2_Celtic DCF_Cópia de Modelo - Fluxo de Caixa Orcamento 09052009_V36_3" xfId="2674"/>
    <cellStyle name="s_DCF Matrix (2)_2_Celtic DCF_Fluxo de Caixa Orcamento FINAL_13052009" xfId="2675"/>
    <cellStyle name="s_DCF Matrix (2)_2_Celtic DCF_FM_dummyV4" xfId="2676"/>
    <cellStyle name="s_DCF Matrix (2)_2_Celtic DCF_lalur" xfId="2677"/>
    <cellStyle name="s_DCF Matrix (2)_2_Celtic DCF_Leasing_V3" xfId="2678"/>
    <cellStyle name="s_DCF Matrix (2)_2_Celtic DCF_MODELO PDP III" xfId="2679"/>
    <cellStyle name="s_DCF Matrix (2)_2_Celtic DCF_ORÇ_2009" xfId="2680"/>
    <cellStyle name="s_DCF Matrix (2)_2_Celtic DCF_Pasta2" xfId="2681"/>
    <cellStyle name="s_DCF Matrix (2)_2_Comparativo VP FIN v1_So 2008" xfId="7679"/>
    <cellStyle name="s_DCF Matrix (2)_2_Comparativo VP MKT 2008 v1_So 2008" xfId="7680"/>
    <cellStyle name="s_DCF Matrix (2)_2_Comparativo VP TEC 2008 v1_So 2008" xfId="7681"/>
    <cellStyle name="s_DCF Matrix (2)_2_Comparativo VP TEC 2008_Luiz Sergio" xfId="7682"/>
    <cellStyle name="s_DCF Matrix (2)_2_Cópia de Modelo - Fluxo de Caixa Orcamento 09052009_V36_3" xfId="2682"/>
    <cellStyle name="s_DCF Matrix (2)_2_Fluxo de Caixa Orcamento FINAL_13052009" xfId="2683"/>
    <cellStyle name="s_DCF Matrix (2)_2_FM_dummyV4" xfId="2684"/>
    <cellStyle name="s_DCF Matrix (2)_2_lalur" xfId="2685"/>
    <cellStyle name="s_DCF Matrix (2)_2_Leasing_V3" xfId="2686"/>
    <cellStyle name="s_DCF Matrix (2)_2_MODELO PDP III" xfId="2687"/>
    <cellStyle name="s_DCF Matrix (2)_2_ORÇ_2009" xfId="2688"/>
    <cellStyle name="s_DCF Matrix (2)_2_Pasta2" xfId="2689"/>
    <cellStyle name="s_DCF Matrix (2)_2_Valuation Summary" xfId="2690"/>
    <cellStyle name="s_DCF Matrix (2)_2_Valuation Summary_Comparativo VP FIN v1_So 2008" xfId="7683"/>
    <cellStyle name="s_DCF Matrix (2)_2_Valuation Summary_Comparativo VP MKT 2008 v1_So 2008" xfId="7684"/>
    <cellStyle name="s_DCF Matrix (2)_2_Valuation Summary_Comparativo VP TEC 2008 v1_So 2008" xfId="7685"/>
    <cellStyle name="s_DCF Matrix (2)_2_Valuation Summary_Comparativo VP TEC 2008_Luiz Sergio" xfId="7686"/>
    <cellStyle name="s_DCF Matrix (2)_2_Valuation Summary_Cópia de Modelo - Fluxo de Caixa Orcamento 09052009_V36_3" xfId="2691"/>
    <cellStyle name="s_DCF Matrix (2)_2_Valuation Summary_Fluxo de Caixa Orcamento FINAL_13052009" xfId="2692"/>
    <cellStyle name="s_DCF Matrix (2)_2_Valuation Summary_FM_dummyV4" xfId="2693"/>
    <cellStyle name="s_DCF Matrix (2)_2_Valuation Summary_lalur" xfId="2694"/>
    <cellStyle name="s_DCF Matrix (2)_2_Valuation Summary_Leasing_V3" xfId="2695"/>
    <cellStyle name="s_DCF Matrix (2)_2_Valuation Summary_MODELO PDP III" xfId="2696"/>
    <cellStyle name="s_DCF Matrix (2)_2_Valuation Summary_ORÇ_2009" xfId="2697"/>
    <cellStyle name="s_DCF Matrix (2)_2_Valuation Summary_Pasta2" xfId="2698"/>
    <cellStyle name="s_DCF Matrix (2)_Comparativo VP FIN v1_So 2008" xfId="7687"/>
    <cellStyle name="s_DCF Matrix (2)_Comparativo VP MKT 2008 v1_So 2008" xfId="7688"/>
    <cellStyle name="s_DCF Matrix (2)_Comparativo VP TEC 2008 v1_So 2008" xfId="7689"/>
    <cellStyle name="s_DCF Matrix (2)_Comparativo VP TEC 2008_Luiz Sergio" xfId="7690"/>
    <cellStyle name="s_DCF Matrix (2)_Cópia de Modelo - Fluxo de Caixa Orcamento 09052009_V36_3" xfId="2699"/>
    <cellStyle name="s_DCF Matrix (2)_Fluxo de Caixa Orcamento FINAL_13052009" xfId="2700"/>
    <cellStyle name="s_DCF Matrix (2)_FM_dummyV4" xfId="2701"/>
    <cellStyle name="s_DCF Matrix (2)_lalur" xfId="2702"/>
    <cellStyle name="s_DCF Matrix (2)_Leasing_V3" xfId="2703"/>
    <cellStyle name="s_DCF Matrix (2)_MODELO PDP III" xfId="2704"/>
    <cellStyle name="s_DCF Matrix (2)_ORÇ_2009" xfId="2705"/>
    <cellStyle name="s_DCF Matrix (2)_Pasta2" xfId="2706"/>
    <cellStyle name="s_DCF Matrix_1" xfId="2707"/>
    <cellStyle name="s_DCF Matrix_1_AM0909" xfId="2708"/>
    <cellStyle name="s_DCF Matrix_1_AM0909_Comparativo VP FIN v1_So 2008" xfId="7691"/>
    <cellStyle name="s_DCF Matrix_1_AM0909_Comparativo VP MKT 2008 v1_So 2008" xfId="7692"/>
    <cellStyle name="s_DCF Matrix_1_AM0909_Comparativo VP TEC 2008 v1_So 2008" xfId="7693"/>
    <cellStyle name="s_DCF Matrix_1_AM0909_Comparativo VP TEC 2008_Luiz Sergio" xfId="7694"/>
    <cellStyle name="s_DCF Matrix_1_AM0909_Cópia de Modelo - Fluxo de Caixa Orcamento 09052009_V36_3" xfId="2709"/>
    <cellStyle name="s_DCF Matrix_1_AM0909_Fluxo de Caixa Orcamento FINAL_13052009" xfId="2710"/>
    <cellStyle name="s_DCF Matrix_1_AM0909_FM_dummyV4" xfId="2711"/>
    <cellStyle name="s_DCF Matrix_1_AM0909_lalur" xfId="2712"/>
    <cellStyle name="s_DCF Matrix_1_AM0909_Leasing_V3" xfId="2713"/>
    <cellStyle name="s_DCF Matrix_1_AM0909_MODELO PDP III" xfId="2714"/>
    <cellStyle name="s_DCF Matrix_1_AM0909_ORÇ_2009" xfId="2715"/>
    <cellStyle name="s_DCF Matrix_1_AM0909_Pasta2" xfId="2716"/>
    <cellStyle name="s_DCF Matrix_1_Brenner" xfId="2717"/>
    <cellStyle name="s_DCF Matrix_1_Brenner_Comparativo VP FIN v1_So 2008" xfId="7695"/>
    <cellStyle name="s_DCF Matrix_1_Brenner_Comparativo VP MKT 2008 v1_So 2008" xfId="7696"/>
    <cellStyle name="s_DCF Matrix_1_Brenner_Comparativo VP TEC 2008 v1_So 2008" xfId="7697"/>
    <cellStyle name="s_DCF Matrix_1_Brenner_Comparativo VP TEC 2008_Luiz Sergio" xfId="7698"/>
    <cellStyle name="s_DCF Matrix_1_Brenner_Cópia de Modelo - Fluxo de Caixa Orcamento 09052009_V36_3" xfId="2718"/>
    <cellStyle name="s_DCF Matrix_1_Brenner_Fluxo de Caixa Orcamento FINAL_13052009" xfId="2719"/>
    <cellStyle name="s_DCF Matrix_1_Brenner_FM_dummyV4" xfId="2720"/>
    <cellStyle name="s_DCF Matrix_1_Brenner_lalur" xfId="2721"/>
    <cellStyle name="s_DCF Matrix_1_Brenner_Leasing_V3" xfId="2722"/>
    <cellStyle name="s_DCF Matrix_1_Brenner_MODELO PDP III" xfId="2723"/>
    <cellStyle name="s_DCF Matrix_1_Brenner_ORÇ_2009" xfId="2724"/>
    <cellStyle name="s_DCF Matrix_1_Brenner_Pasta2" xfId="2725"/>
    <cellStyle name="s_DCF Matrix_1_Comparativo VP FIN v1_So 2008" xfId="7699"/>
    <cellStyle name="s_DCF Matrix_1_Comparativo VP MKT 2008 v1_So 2008" xfId="7700"/>
    <cellStyle name="s_DCF Matrix_1_Comparativo VP TEC 2008 v1_So 2008" xfId="7701"/>
    <cellStyle name="s_DCF Matrix_1_Comparativo VP TEC 2008_Luiz Sergio" xfId="7702"/>
    <cellStyle name="s_DCF Matrix_1_Cópia de Modelo - Fluxo de Caixa Orcamento 09052009_V36_3" xfId="2726"/>
    <cellStyle name="s_DCF Matrix_1_Fluxo de Caixa Orcamento FINAL_13052009" xfId="2727"/>
    <cellStyle name="s_DCF Matrix_1_FM_dummyV4" xfId="2728"/>
    <cellStyle name="s_DCF Matrix_1_Hays Model (3-10-03)" xfId="2729"/>
    <cellStyle name="s_DCF Matrix_1_Hays Model (3-10-03)_Comparativo VP FIN v1_So 2008" xfId="7703"/>
    <cellStyle name="s_DCF Matrix_1_Hays Model (3-10-03)_Comparativo VP MKT 2008 v1_So 2008" xfId="7704"/>
    <cellStyle name="s_DCF Matrix_1_Hays Model (3-10-03)_Comparativo VP TEC 2008 v1_So 2008" xfId="7705"/>
    <cellStyle name="s_DCF Matrix_1_Hays Model (3-10-03)_Comparativo VP TEC 2008_Luiz Sergio" xfId="7706"/>
    <cellStyle name="s_DCF Matrix_1_Hays Model (3-10-03)_Cópia de Modelo - Fluxo de Caixa Orcamento 09052009_V36_3" xfId="2730"/>
    <cellStyle name="s_DCF Matrix_1_Hays Model (3-10-03)_Fluxo de Caixa Orcamento FINAL_13052009" xfId="2731"/>
    <cellStyle name="s_DCF Matrix_1_Hays Model (3-10-03)_FM_dummyV4" xfId="2732"/>
    <cellStyle name="s_DCF Matrix_1_Hays Model (3-10-03)_lalur" xfId="2733"/>
    <cellStyle name="s_DCF Matrix_1_Hays Model (3-10-03)_Leasing_V3" xfId="2734"/>
    <cellStyle name="s_DCF Matrix_1_Hays Model (3-10-03)_MODELO PDP III" xfId="2735"/>
    <cellStyle name="s_DCF Matrix_1_Hays Model (3-10-03)_ORÇ_2009" xfId="2736"/>
    <cellStyle name="s_DCF Matrix_1_Hays Model (3-10-03)_Pasta2" xfId="2737"/>
    <cellStyle name="s_DCF Matrix_1_IPO" xfId="2738"/>
    <cellStyle name="s_DCF Matrix_1_IPO_Comparativo VP FIN v1_So 2008" xfId="7707"/>
    <cellStyle name="s_DCF Matrix_1_IPO_Comparativo VP MKT 2008 v1_So 2008" xfId="7708"/>
    <cellStyle name="s_DCF Matrix_1_IPO_Comparativo VP TEC 2008 v1_So 2008" xfId="7709"/>
    <cellStyle name="s_DCF Matrix_1_IPO_Comparativo VP TEC 2008_Luiz Sergio" xfId="7710"/>
    <cellStyle name="s_DCF Matrix_1_IPO_Cópia de Modelo - Fluxo de Caixa Orcamento 09052009_V36_3" xfId="2739"/>
    <cellStyle name="s_DCF Matrix_1_IPO_Fluxo de Caixa Orcamento FINAL_13052009" xfId="2740"/>
    <cellStyle name="s_DCF Matrix_1_IPO_FM_dummyV4" xfId="2741"/>
    <cellStyle name="s_DCF Matrix_1_IPO_lalur" xfId="2742"/>
    <cellStyle name="s_DCF Matrix_1_IPO_Leasing_V3" xfId="2743"/>
    <cellStyle name="s_DCF Matrix_1_IPO_MODELO PDP III" xfId="2744"/>
    <cellStyle name="s_DCF Matrix_1_IPO_ORÇ_2009" xfId="2745"/>
    <cellStyle name="s_DCF Matrix_1_IPO_Pasta2" xfId="2746"/>
    <cellStyle name="s_DCF Matrix_1_lalur" xfId="2747"/>
    <cellStyle name="s_DCF Matrix_1_LBO_02.07.02v2" xfId="2748"/>
    <cellStyle name="s_DCF Matrix_1_LBO_02.07.02v2_Comparativo VP FIN v1_So 2008" xfId="7711"/>
    <cellStyle name="s_DCF Matrix_1_LBO_02.07.02v2_Comparativo VP MKT 2008 v1_So 2008" xfId="7712"/>
    <cellStyle name="s_DCF Matrix_1_LBO_02.07.02v2_Comparativo VP TEC 2008 v1_So 2008" xfId="7713"/>
    <cellStyle name="s_DCF Matrix_1_LBO_02.07.02v2_Comparativo VP TEC 2008_Luiz Sergio" xfId="7714"/>
    <cellStyle name="s_DCF Matrix_1_LBO_02.07.02v2_Cópia de Modelo - Fluxo de Caixa Orcamento 09052009_V36_3" xfId="2749"/>
    <cellStyle name="s_DCF Matrix_1_LBO_02.07.02v2_Fluxo de Caixa Orcamento FINAL_13052009" xfId="2750"/>
    <cellStyle name="s_DCF Matrix_1_LBO_02.07.02v2_FM_dummyV4" xfId="2751"/>
    <cellStyle name="s_DCF Matrix_1_LBO_02.07.02v2_lalur" xfId="2752"/>
    <cellStyle name="s_DCF Matrix_1_LBO_02.07.02v2_Leasing_V3" xfId="2753"/>
    <cellStyle name="s_DCF Matrix_1_LBO_02.07.02v2_MODELO PDP III" xfId="2754"/>
    <cellStyle name="s_DCF Matrix_1_LBO_02.07.02v2_ORÇ_2009" xfId="2755"/>
    <cellStyle name="s_DCF Matrix_1_LBO_02.07.02v2_Pasta2" xfId="2756"/>
    <cellStyle name="s_DCF Matrix_1_Leasing_V3" xfId="2757"/>
    <cellStyle name="s_DCF Matrix_1_MiniMerger7" xfId="2758"/>
    <cellStyle name="s_DCF Matrix_1_MiniMerger7_Comparativo VP FIN v1_So 2008" xfId="7715"/>
    <cellStyle name="s_DCF Matrix_1_MiniMerger7_Comparativo VP MKT 2008 v1_So 2008" xfId="7716"/>
    <cellStyle name="s_DCF Matrix_1_MiniMerger7_Comparativo VP TEC 2008 v1_So 2008" xfId="7717"/>
    <cellStyle name="s_DCF Matrix_1_MiniMerger7_Comparativo VP TEC 2008_Luiz Sergio" xfId="7718"/>
    <cellStyle name="s_DCF Matrix_1_MiniMerger7_Cópia de Modelo - Fluxo de Caixa Orcamento 09052009_V36_3" xfId="2759"/>
    <cellStyle name="s_DCF Matrix_1_MiniMerger7_Fluxo de Caixa Orcamento FINAL_13052009" xfId="2760"/>
    <cellStyle name="s_DCF Matrix_1_MiniMerger7_FM_dummyV4" xfId="2761"/>
    <cellStyle name="s_DCF Matrix_1_MiniMerger7_lalur" xfId="2762"/>
    <cellStyle name="s_DCF Matrix_1_MiniMerger7_Leasing_V3" xfId="2763"/>
    <cellStyle name="s_DCF Matrix_1_MiniMerger7_MODELO PDP III" xfId="2764"/>
    <cellStyle name="s_DCF Matrix_1_MiniMerger7_ORÇ_2009" xfId="2765"/>
    <cellStyle name="s_DCF Matrix_1_MiniMerger7_Pasta2" xfId="2766"/>
    <cellStyle name="s_DCF Matrix_1_MJS New Look Merger Model" xfId="2767"/>
    <cellStyle name="s_DCF Matrix_1_MJS New Look Merger Model_Comparativo VP FIN v1_So 2008" xfId="7719"/>
    <cellStyle name="s_DCF Matrix_1_MJS New Look Merger Model_Comparativo VP MKT 2008 v1_So 2008" xfId="7720"/>
    <cellStyle name="s_DCF Matrix_1_MJS New Look Merger Model_Comparativo VP TEC 2008 v1_So 2008" xfId="7721"/>
    <cellStyle name="s_DCF Matrix_1_MJS New Look Merger Model_Comparativo VP TEC 2008_Luiz Sergio" xfId="7722"/>
    <cellStyle name="s_DCF Matrix_1_MJS New Look Merger Model_Cópia de Modelo - Fluxo de Caixa Orcamento 09052009_V36_3" xfId="2768"/>
    <cellStyle name="s_DCF Matrix_1_MJS New Look Merger Model_Fluxo de Caixa Orcamento FINAL_13052009" xfId="2769"/>
    <cellStyle name="s_DCF Matrix_1_MJS New Look Merger Model_FM_dummyV4" xfId="2770"/>
    <cellStyle name="s_DCF Matrix_1_MJS New Look Merger Model_lalur" xfId="2771"/>
    <cellStyle name="s_DCF Matrix_1_MJS New Look Merger Model_Leasing_V3" xfId="2772"/>
    <cellStyle name="s_DCF Matrix_1_MJS New Look Merger Model_MODELO PDP III" xfId="2773"/>
    <cellStyle name="s_DCF Matrix_1_MJS New Look Merger Model_ORÇ_2009" xfId="2774"/>
    <cellStyle name="s_DCF Matrix_1_MJS New Look Merger Model_Pasta2" xfId="2775"/>
    <cellStyle name="s_DCF Matrix_1_MODELO PDP III" xfId="2776"/>
    <cellStyle name="s_DCF Matrix_1_ORÇ_2009" xfId="2777"/>
    <cellStyle name="s_DCF Matrix_1_Pasta2" xfId="2778"/>
    <cellStyle name="s_DCF Matrix_1_TransCore Model (2-13-03 - Cypress)" xfId="2779"/>
    <cellStyle name="s_DCF Matrix_1_TransCore Model (2-13-03 - Cypress)_Comparativo VP FIN v1_So 2008" xfId="7723"/>
    <cellStyle name="s_DCF Matrix_1_TransCore Model (2-13-03 - Cypress)_Comparativo VP MKT 2008 v1_So 2008" xfId="7724"/>
    <cellStyle name="s_DCF Matrix_1_TransCore Model (2-13-03 - Cypress)_Comparativo VP TEC 2008 v1_So 2008" xfId="7725"/>
    <cellStyle name="s_DCF Matrix_1_TransCore Model (2-13-03 - Cypress)_Comparativo VP TEC 2008_Luiz Sergio" xfId="7726"/>
    <cellStyle name="s_DCF Matrix_1_TransCore Model (2-13-03 - Cypress)_Cópia de Modelo - Fluxo de Caixa Orcamento 09052009_V36_3" xfId="2780"/>
    <cellStyle name="s_DCF Matrix_1_TransCore Model (2-13-03 - Cypress)_Fluxo de Caixa Orcamento FINAL_13052009" xfId="2781"/>
    <cellStyle name="s_DCF Matrix_1_TransCore Model (2-13-03 - Cypress)_FM_dummyV4" xfId="2782"/>
    <cellStyle name="s_DCF Matrix_1_TransCore Model (2-13-03 - Cypress)_lalur" xfId="2783"/>
    <cellStyle name="s_DCF Matrix_1_TransCore Model (2-13-03 - Cypress)_Leasing_V3" xfId="2784"/>
    <cellStyle name="s_DCF Matrix_1_TransCore Model (2-13-03 - Cypress)_MODELO PDP III" xfId="2785"/>
    <cellStyle name="s_DCF Matrix_1_TransCore Model (2-13-03 - Cypress)_ORÇ_2009" xfId="2786"/>
    <cellStyle name="s_DCF Matrix_1_TransCore Model (2-13-03 - Cypress)_Pasta2" xfId="2787"/>
    <cellStyle name="s_DCF Matrix_2" xfId="2788"/>
    <cellStyle name="s_DCF Matrix_2_AM0909" xfId="2789"/>
    <cellStyle name="s_DCF Matrix_2_AM0909_Comparativo VP FIN v1_So 2008" xfId="7727"/>
    <cellStyle name="s_DCF Matrix_2_AM0909_Comparativo VP MKT 2008 v1_So 2008" xfId="7728"/>
    <cellStyle name="s_DCF Matrix_2_AM0909_Comparativo VP TEC 2008 v1_So 2008" xfId="7729"/>
    <cellStyle name="s_DCF Matrix_2_AM0909_Comparativo VP TEC 2008_Luiz Sergio" xfId="7730"/>
    <cellStyle name="s_DCF Matrix_2_AM0909_Cópia de Modelo - Fluxo de Caixa Orcamento 09052009_V36_3" xfId="2790"/>
    <cellStyle name="s_DCF Matrix_2_AM0909_Fluxo de Caixa Orcamento FINAL_13052009" xfId="2791"/>
    <cellStyle name="s_DCF Matrix_2_AM0909_FM_dummyV4" xfId="2792"/>
    <cellStyle name="s_DCF Matrix_2_AM0909_lalur" xfId="2793"/>
    <cellStyle name="s_DCF Matrix_2_AM0909_Leasing_V3" xfId="2794"/>
    <cellStyle name="s_DCF Matrix_2_AM0909_MODELO PDP III" xfId="2795"/>
    <cellStyle name="s_DCF Matrix_2_AM0909_ORÇ_2009" xfId="2796"/>
    <cellStyle name="s_DCF Matrix_2_AM0909_Pasta2" xfId="2797"/>
    <cellStyle name="s_DCF Matrix_2_Brenner" xfId="2798"/>
    <cellStyle name="s_DCF Matrix_2_Brenner_Comparativo VP FIN v1_So 2008" xfId="7731"/>
    <cellStyle name="s_DCF Matrix_2_Brenner_Comparativo VP MKT 2008 v1_So 2008" xfId="7732"/>
    <cellStyle name="s_DCF Matrix_2_Brenner_Comparativo VP TEC 2008 v1_So 2008" xfId="7733"/>
    <cellStyle name="s_DCF Matrix_2_Brenner_Comparativo VP TEC 2008_Luiz Sergio" xfId="7734"/>
    <cellStyle name="s_DCF Matrix_2_Brenner_Cópia de Modelo - Fluxo de Caixa Orcamento 09052009_V36_3" xfId="2799"/>
    <cellStyle name="s_DCF Matrix_2_Brenner_Fluxo de Caixa Orcamento FINAL_13052009" xfId="2800"/>
    <cellStyle name="s_DCF Matrix_2_Brenner_FM_dummyV4" xfId="2801"/>
    <cellStyle name="s_DCF Matrix_2_Brenner_lalur" xfId="2802"/>
    <cellStyle name="s_DCF Matrix_2_Brenner_Leasing_V3" xfId="2803"/>
    <cellStyle name="s_DCF Matrix_2_Brenner_MODELO PDP III" xfId="2804"/>
    <cellStyle name="s_DCF Matrix_2_Brenner_ORÇ_2009" xfId="2805"/>
    <cellStyle name="s_DCF Matrix_2_Brenner_Pasta2" xfId="2806"/>
    <cellStyle name="s_DCF Matrix_2_Comparativo VP FIN v1_So 2008" xfId="7735"/>
    <cellStyle name="s_DCF Matrix_2_Comparativo VP MKT 2008 v1_So 2008" xfId="7736"/>
    <cellStyle name="s_DCF Matrix_2_Comparativo VP TEC 2008 v1_So 2008" xfId="7737"/>
    <cellStyle name="s_DCF Matrix_2_Comparativo VP TEC 2008_Luiz Sergio" xfId="7738"/>
    <cellStyle name="s_DCF Matrix_2_Cópia de Modelo - Fluxo de Caixa Orcamento 09052009_V36_3" xfId="2807"/>
    <cellStyle name="s_DCF Matrix_2_Fluxo de Caixa Orcamento FINAL_13052009" xfId="2808"/>
    <cellStyle name="s_DCF Matrix_2_FM_dummyV4" xfId="2809"/>
    <cellStyle name="s_DCF Matrix_2_lalur" xfId="2810"/>
    <cellStyle name="s_DCF Matrix_2_Leasing_V3" xfId="2811"/>
    <cellStyle name="s_DCF Matrix_2_MODELO PDP III" xfId="2812"/>
    <cellStyle name="s_DCF Matrix_2_ORÇ_2009" xfId="2813"/>
    <cellStyle name="s_DCF Matrix_2_Pasta2" xfId="2814"/>
    <cellStyle name="s_DCF Matrix_Comparativo VP FIN v1_So 2008" xfId="7739"/>
    <cellStyle name="s_DCF Matrix_Comparativo VP MKT 2008 v1_So 2008" xfId="7740"/>
    <cellStyle name="s_DCF Matrix_Comparativo VP TEC 2008 v1_So 2008" xfId="7741"/>
    <cellStyle name="s_DCF Matrix_Comparativo VP TEC 2008_Luiz Sergio" xfId="7742"/>
    <cellStyle name="s_DCF Matrix_Cópia de Modelo - Fluxo de Caixa Orcamento 09052009_V36_3" xfId="2815"/>
    <cellStyle name="s_DCF Matrix_Fluxo de Caixa Orcamento FINAL_13052009" xfId="2816"/>
    <cellStyle name="s_DCF Matrix_FM_dummyV4" xfId="2817"/>
    <cellStyle name="s_DCF Matrix_Hays Model (3-10-03)" xfId="2818"/>
    <cellStyle name="s_DCF Matrix_Hays Model (3-10-03)_Comparativo VP FIN v1_So 2008" xfId="7743"/>
    <cellStyle name="s_DCF Matrix_Hays Model (3-10-03)_Comparativo VP MKT 2008 v1_So 2008" xfId="7744"/>
    <cellStyle name="s_DCF Matrix_Hays Model (3-10-03)_Comparativo VP TEC 2008 v1_So 2008" xfId="7745"/>
    <cellStyle name="s_DCF Matrix_Hays Model (3-10-03)_Comparativo VP TEC 2008_Luiz Sergio" xfId="7746"/>
    <cellStyle name="s_DCF Matrix_Hays Model (3-10-03)_Cópia de Modelo - Fluxo de Caixa Orcamento 09052009_V36_3" xfId="2819"/>
    <cellStyle name="s_DCF Matrix_Hays Model (3-10-03)_Fluxo de Caixa Orcamento FINAL_13052009" xfId="2820"/>
    <cellStyle name="s_DCF Matrix_Hays Model (3-10-03)_FM_dummyV4" xfId="2821"/>
    <cellStyle name="s_DCF Matrix_Hays Model (3-10-03)_lalur" xfId="2822"/>
    <cellStyle name="s_DCF Matrix_Hays Model (3-10-03)_Leasing_V3" xfId="2823"/>
    <cellStyle name="s_DCF Matrix_Hays Model (3-10-03)_MODELO PDP III" xfId="2824"/>
    <cellStyle name="s_DCF Matrix_Hays Model (3-10-03)_ORÇ_2009" xfId="2825"/>
    <cellStyle name="s_DCF Matrix_Hays Model (3-10-03)_Pasta2" xfId="2826"/>
    <cellStyle name="s_DCF Matrix_IPO" xfId="2827"/>
    <cellStyle name="s_DCF Matrix_IPO_Comparativo VP FIN v1_So 2008" xfId="7747"/>
    <cellStyle name="s_DCF Matrix_IPO_Comparativo VP MKT 2008 v1_So 2008" xfId="7748"/>
    <cellStyle name="s_DCF Matrix_IPO_Comparativo VP TEC 2008 v1_So 2008" xfId="7749"/>
    <cellStyle name="s_DCF Matrix_IPO_Comparativo VP TEC 2008_Luiz Sergio" xfId="7750"/>
    <cellStyle name="s_DCF Matrix_IPO_Cópia de Modelo - Fluxo de Caixa Orcamento 09052009_V36_3" xfId="2828"/>
    <cellStyle name="s_DCF Matrix_IPO_Fluxo de Caixa Orcamento FINAL_13052009" xfId="2829"/>
    <cellStyle name="s_DCF Matrix_IPO_FM_dummyV4" xfId="2830"/>
    <cellStyle name="s_DCF Matrix_IPO_lalur" xfId="2831"/>
    <cellStyle name="s_DCF Matrix_IPO_Leasing_V3" xfId="2832"/>
    <cellStyle name="s_DCF Matrix_IPO_MODELO PDP III" xfId="2833"/>
    <cellStyle name="s_DCF Matrix_IPO_ORÇ_2009" xfId="2834"/>
    <cellStyle name="s_DCF Matrix_IPO_Pasta2" xfId="2835"/>
    <cellStyle name="s_DCF Matrix_lalur" xfId="2836"/>
    <cellStyle name="s_DCF Matrix_LBO_02.07.02v2" xfId="2837"/>
    <cellStyle name="s_DCF Matrix_LBO_02.07.02v2_Comparativo VP FIN v1_So 2008" xfId="7751"/>
    <cellStyle name="s_DCF Matrix_LBO_02.07.02v2_Comparativo VP MKT 2008 v1_So 2008" xfId="7752"/>
    <cellStyle name="s_DCF Matrix_LBO_02.07.02v2_Comparativo VP TEC 2008 v1_So 2008" xfId="7753"/>
    <cellStyle name="s_DCF Matrix_LBO_02.07.02v2_Comparativo VP TEC 2008_Luiz Sergio" xfId="7754"/>
    <cellStyle name="s_DCF Matrix_LBO_02.07.02v2_Cópia de Modelo - Fluxo de Caixa Orcamento 09052009_V36_3" xfId="2838"/>
    <cellStyle name="s_DCF Matrix_LBO_02.07.02v2_Fluxo de Caixa Orcamento FINAL_13052009" xfId="2839"/>
    <cellStyle name="s_DCF Matrix_LBO_02.07.02v2_FM_dummyV4" xfId="2840"/>
    <cellStyle name="s_DCF Matrix_LBO_02.07.02v2_lalur" xfId="2841"/>
    <cellStyle name="s_DCF Matrix_LBO_02.07.02v2_Leasing_V3" xfId="2842"/>
    <cellStyle name="s_DCF Matrix_LBO_02.07.02v2_MODELO PDP III" xfId="2843"/>
    <cellStyle name="s_DCF Matrix_LBO_02.07.02v2_ORÇ_2009" xfId="2844"/>
    <cellStyle name="s_DCF Matrix_LBO_02.07.02v2_Pasta2" xfId="2845"/>
    <cellStyle name="s_DCF Matrix_Leasing_V3" xfId="2846"/>
    <cellStyle name="s_DCF Matrix_MiniMerger7" xfId="2847"/>
    <cellStyle name="s_DCF Matrix_MiniMerger7_Comparativo VP FIN v1_So 2008" xfId="7755"/>
    <cellStyle name="s_DCF Matrix_MiniMerger7_Comparativo VP MKT 2008 v1_So 2008" xfId="7756"/>
    <cellStyle name="s_DCF Matrix_MiniMerger7_Comparativo VP TEC 2008 v1_So 2008" xfId="7757"/>
    <cellStyle name="s_DCF Matrix_MiniMerger7_Comparativo VP TEC 2008_Luiz Sergio" xfId="7758"/>
    <cellStyle name="s_DCF Matrix_MiniMerger7_Cópia de Modelo - Fluxo de Caixa Orcamento 09052009_V36_3" xfId="2848"/>
    <cellStyle name="s_DCF Matrix_MiniMerger7_Fluxo de Caixa Orcamento FINAL_13052009" xfId="2849"/>
    <cellStyle name="s_DCF Matrix_MiniMerger7_FM_dummyV4" xfId="2850"/>
    <cellStyle name="s_DCF Matrix_MiniMerger7_lalur" xfId="2851"/>
    <cellStyle name="s_DCF Matrix_MiniMerger7_Leasing_V3" xfId="2852"/>
    <cellStyle name="s_DCF Matrix_MiniMerger7_MODELO PDP III" xfId="2853"/>
    <cellStyle name="s_DCF Matrix_MiniMerger7_ORÇ_2009" xfId="2854"/>
    <cellStyle name="s_DCF Matrix_MiniMerger7_Pasta2" xfId="2855"/>
    <cellStyle name="s_DCF Matrix_MJS New Look Merger Model" xfId="2856"/>
    <cellStyle name="s_DCF Matrix_MJS New Look Merger Model_Comparativo VP FIN v1_So 2008" xfId="7759"/>
    <cellStyle name="s_DCF Matrix_MJS New Look Merger Model_Comparativo VP MKT 2008 v1_So 2008" xfId="7760"/>
    <cellStyle name="s_DCF Matrix_MJS New Look Merger Model_Comparativo VP TEC 2008 v1_So 2008" xfId="7761"/>
    <cellStyle name="s_DCF Matrix_MJS New Look Merger Model_Comparativo VP TEC 2008_Luiz Sergio" xfId="7762"/>
    <cellStyle name="s_DCF Matrix_MJS New Look Merger Model_Cópia de Modelo - Fluxo de Caixa Orcamento 09052009_V36_3" xfId="2857"/>
    <cellStyle name="s_DCF Matrix_MJS New Look Merger Model_Fluxo de Caixa Orcamento FINAL_13052009" xfId="2858"/>
    <cellStyle name="s_DCF Matrix_MJS New Look Merger Model_FM_dummyV4" xfId="2859"/>
    <cellStyle name="s_DCF Matrix_MJS New Look Merger Model_lalur" xfId="2860"/>
    <cellStyle name="s_DCF Matrix_MJS New Look Merger Model_Leasing_V3" xfId="2861"/>
    <cellStyle name="s_DCF Matrix_MJS New Look Merger Model_MODELO PDP III" xfId="2862"/>
    <cellStyle name="s_DCF Matrix_MJS New Look Merger Model_ORÇ_2009" xfId="2863"/>
    <cellStyle name="s_DCF Matrix_MJS New Look Merger Model_Pasta2" xfId="2864"/>
    <cellStyle name="s_DCF Matrix_MODELO PDP III" xfId="2865"/>
    <cellStyle name="s_DCF Matrix_ORÇ_2009" xfId="2866"/>
    <cellStyle name="s_DCF Matrix_Pasta2" xfId="2867"/>
    <cellStyle name="s_DCF Matrix_REVISE24" xfId="2868"/>
    <cellStyle name="s_DCF Matrix_REVISE24_Comparativo VP FIN v1_So 2008" xfId="7763"/>
    <cellStyle name="s_DCF Matrix_REVISE24_Comparativo VP MKT 2008 v1_So 2008" xfId="7764"/>
    <cellStyle name="s_DCF Matrix_REVISE24_Comparativo VP TEC 2008 v1_So 2008" xfId="7765"/>
    <cellStyle name="s_DCF Matrix_REVISE24_Comparativo VP TEC 2008_Luiz Sergio" xfId="7766"/>
    <cellStyle name="s_DCF Matrix_REVISE24_Cópia de Modelo - Fluxo de Caixa Orcamento 09052009_V36_3" xfId="2869"/>
    <cellStyle name="s_DCF Matrix_REVISE24_Fluxo de Caixa Orcamento FINAL_13052009" xfId="2870"/>
    <cellStyle name="s_DCF Matrix_REVISE24_FM_dummyV4" xfId="2871"/>
    <cellStyle name="s_DCF Matrix_REVISE24_lalur" xfId="2872"/>
    <cellStyle name="s_DCF Matrix_REVISE24_Leasing_V3" xfId="2873"/>
    <cellStyle name="s_DCF Matrix_REVISE24_MODELO PDP III" xfId="2874"/>
    <cellStyle name="s_DCF Matrix_REVISE24_ORÇ_2009" xfId="2875"/>
    <cellStyle name="s_DCF Matrix_REVISE24_Pasta2" xfId="2876"/>
    <cellStyle name="s_DCF Matrix_TransCore Model (2-13-03 - Cypress)" xfId="2877"/>
    <cellStyle name="s_DCF Matrix_TransCore Model (2-13-03 - Cypress)_Comparativo VP FIN v1_So 2008" xfId="7767"/>
    <cellStyle name="s_DCF Matrix_TransCore Model (2-13-03 - Cypress)_Comparativo VP MKT 2008 v1_So 2008" xfId="7768"/>
    <cellStyle name="s_DCF Matrix_TransCore Model (2-13-03 - Cypress)_Comparativo VP TEC 2008 v1_So 2008" xfId="7769"/>
    <cellStyle name="s_DCF Matrix_TransCore Model (2-13-03 - Cypress)_Comparativo VP TEC 2008_Luiz Sergio" xfId="7770"/>
    <cellStyle name="s_DCF Matrix_TransCore Model (2-13-03 - Cypress)_Cópia de Modelo - Fluxo de Caixa Orcamento 09052009_V36_3" xfId="2878"/>
    <cellStyle name="s_DCF Matrix_TransCore Model (2-13-03 - Cypress)_Fluxo de Caixa Orcamento FINAL_13052009" xfId="2879"/>
    <cellStyle name="s_DCF Matrix_TransCore Model (2-13-03 - Cypress)_FM_dummyV4" xfId="2880"/>
    <cellStyle name="s_DCF Matrix_TransCore Model (2-13-03 - Cypress)_lalur" xfId="2881"/>
    <cellStyle name="s_DCF Matrix_TransCore Model (2-13-03 - Cypress)_Leasing_V3" xfId="2882"/>
    <cellStyle name="s_DCF Matrix_TransCore Model (2-13-03 - Cypress)_MODELO PDP III" xfId="2883"/>
    <cellStyle name="s_DCF Matrix_TransCore Model (2-13-03 - Cypress)_ORÇ_2009" xfId="2884"/>
    <cellStyle name="s_DCF Matrix_TransCore Model (2-13-03 - Cypress)_Pasta2" xfId="2885"/>
    <cellStyle name="s_DCF output" xfId="2886"/>
    <cellStyle name="s_DCF_1" xfId="2887"/>
    <cellStyle name="s_DCF_1_Comparativo VP FIN v1_So 2008" xfId="7771"/>
    <cellStyle name="s_DCF_1_Comparativo VP MKT 2008 v1_So 2008" xfId="7772"/>
    <cellStyle name="s_DCF_1_Comparativo VP TEC 2008 v1_So 2008" xfId="7773"/>
    <cellStyle name="s_DCF_1_Comparativo VP TEC 2008_Luiz Sergio" xfId="7774"/>
    <cellStyle name="s_DCF_1_Cópia de Modelo - Fluxo de Caixa Orcamento 09052009_V36_3" xfId="2888"/>
    <cellStyle name="s_DCF_1_Fluxo de Caixa Orcamento FINAL_13052009" xfId="2889"/>
    <cellStyle name="s_DCF_1_FM_dummyV4" xfId="2890"/>
    <cellStyle name="s_DCF_1_lalur" xfId="2891"/>
    <cellStyle name="s_DCF_1_Leasing_V3" xfId="2892"/>
    <cellStyle name="s_DCF_1_MODELO PDP III" xfId="2893"/>
    <cellStyle name="s_DCF_1_ORÇ_2009" xfId="2894"/>
    <cellStyle name="s_DCF_1_Pasta2" xfId="2895"/>
    <cellStyle name="s_DCF_2" xfId="2896"/>
    <cellStyle name="s_DCF_2_Comparativo VP FIN v1_So 2008" xfId="7775"/>
    <cellStyle name="s_DCF_2_Comparativo VP MKT 2008 v1_So 2008" xfId="7776"/>
    <cellStyle name="s_DCF_2_Comparativo VP TEC 2008 v1_So 2008" xfId="7777"/>
    <cellStyle name="s_DCF_2_Comparativo VP TEC 2008_Luiz Sergio" xfId="7778"/>
    <cellStyle name="s_DCF_2_Cópia de Modelo - Fluxo de Caixa Orcamento 09052009_V36_3" xfId="2897"/>
    <cellStyle name="s_DCF_2_Fluxo de Caixa Orcamento FINAL_13052009" xfId="2898"/>
    <cellStyle name="s_DCF_2_FM_dummyV4" xfId="2899"/>
    <cellStyle name="s_DCF_2_lalur" xfId="2900"/>
    <cellStyle name="s_DCF_2_Leasing_V3" xfId="2901"/>
    <cellStyle name="s_DCF_2_MODELO PDP III" xfId="2902"/>
    <cellStyle name="s_DCF_2_ORÇ_2009" xfId="2903"/>
    <cellStyle name="s_DCF_2_Pasta2" xfId="2904"/>
    <cellStyle name="s_DCF_Comparativo VP FIN v1_So 2008" xfId="7779"/>
    <cellStyle name="s_DCF_Comparativo VP MKT 2008 v1_So 2008" xfId="7780"/>
    <cellStyle name="s_DCF_Comparativo VP TEC 2008 v1_So 2008" xfId="7781"/>
    <cellStyle name="s_DCF_Comparativo VP TEC 2008_Luiz Sergio" xfId="7782"/>
    <cellStyle name="s_DCF_Cópia de Modelo - Fluxo de Caixa Orcamento 09052009_V36_3" xfId="2905"/>
    <cellStyle name="s_DCF_Fluxo de Caixa Orcamento FINAL_13052009" xfId="2906"/>
    <cellStyle name="s_DCF_FM_dummyV4" xfId="2907"/>
    <cellStyle name="s_DCF_lalur" xfId="2908"/>
    <cellStyle name="s_DCF_Leasing_V3" xfId="2909"/>
    <cellStyle name="s_DCF_MODELO PDP III" xfId="2910"/>
    <cellStyle name="s_DCF_ORÇ_2009" xfId="2911"/>
    <cellStyle name="s_DCF_Pasta2" xfId="2912"/>
    <cellStyle name="s_DCFLBO Code" xfId="2913"/>
    <cellStyle name="s_DCFLBO Code_1" xfId="2914"/>
    <cellStyle name="s_DCFLBO Code_1_Base Apresentação" xfId="7783"/>
    <cellStyle name="s_DCFLBO Code_1_Base Apresentação_Base ITR Set-10 - Ajustes Resmat" xfId="7784"/>
    <cellStyle name="s_DCFLBO Code_1_Comparativo VP FIN v1_So 2008" xfId="7785"/>
    <cellStyle name="s_DCFLBO Code_1_Comparativo VP MKT 2008 v1_So 2008" xfId="7786"/>
    <cellStyle name="s_DCFLBO Code_1_Comparativo VP TEC 2008 v1_So 2008" xfId="7787"/>
    <cellStyle name="s_DCFLBO Code_1_Comparativo VP TEC 2008_Luiz Sergio" xfId="7788"/>
    <cellStyle name="s_DCFLBO Code_1_Controle - Dívidas_Orcamento" xfId="7789"/>
    <cellStyle name="s_DCFLBO Code_1_Cópia de Modelo - Fluxo de Caixa Orcamento 09052009_V36_3" xfId="2915"/>
    <cellStyle name="s_DCFLBO Code_1_Daily Treasury Report- Fevereiro" xfId="2916"/>
    <cellStyle name="s_DCFLBO Code_1_Daily Treasury Report- Fevereiro_BNDES - Calculo novo" xfId="7790"/>
    <cellStyle name="s_DCFLBO Code_1_Daily Treasury Report- Fevereiro_BNDES - NOVO" xfId="7791"/>
    <cellStyle name="s_DCFLBO Code_1_Daily Treasury Report- Fevereiro_Controle Dívida LP" xfId="7792"/>
    <cellStyle name="s_DCFLBO Code_1_Daily Treasury Report- Fevereiro_Controle Dívida LP - NOVO" xfId="7793"/>
    <cellStyle name="s_DCFLBO Code_1_Daily Treasury Report- Fevereiro_Controle Empréstimos" xfId="7794"/>
    <cellStyle name="s_DCFLBO Code_1_Daily Treasury Report- Fevereiro_Emprest CSFB OK" xfId="7795"/>
    <cellStyle name="s_DCFLBO Code_1_Daily Treasury Report- Fevereiro_Novo Financiamento BNDES" xfId="7796"/>
    <cellStyle name="s_DCFLBO Code_1_Daily Treasury Report- Fevereiro_Suporte DFs - V2.0" xfId="7797"/>
    <cellStyle name="s_DCFLBO Code_1_Daily Treasury Report- Fevereiro_teste" xfId="7798"/>
    <cellStyle name="s_DCFLBO Code_1_Fluxo de Caixa Orcamento FINAL_13052009" xfId="2917"/>
    <cellStyle name="s_DCFLBO Code_1_FM_dummyV4" xfId="2918"/>
    <cellStyle name="s_DCFLBO Code_1_lalur" xfId="2919"/>
    <cellStyle name="s_DCFLBO Code_1_Leasing_V3" xfId="2920"/>
    <cellStyle name="s_DCFLBO Code_1_Limites x Garantias" xfId="2921"/>
    <cellStyle name="s_DCFLBO Code_1_Limites x Garantias_Cópia de Modelo - Fluxo de Caixa Orcamento 09052009_V36_3" xfId="2922"/>
    <cellStyle name="s_DCFLBO Code_1_Limites x Garantias_Fluxo de Caixa Orcamento FINAL_13052009" xfId="2923"/>
    <cellStyle name="s_DCFLBO Code_1_Limites x Garantias_Liquidez" xfId="2924"/>
    <cellStyle name="s_DCFLBO Code_1_Limites x Garantias_Liquidez_Cópia de Modelo - Fluxo de Caixa Orcamento 09052009_V36_3" xfId="2925"/>
    <cellStyle name="s_DCFLBO Code_1_Limites x Garantias_Liquidez_Fluxo de Caixa Orcamento FINAL_13052009" xfId="2926"/>
    <cellStyle name="s_DCFLBO Code_1_Limites x Garantias_Liquidez_Pasta2" xfId="2927"/>
    <cellStyle name="s_DCFLBO Code_1_Limites x Garantias_Pasta2" xfId="2928"/>
    <cellStyle name="s_DCFLBO Code_1_Limites x Garantias_Statement Sky - Finance" xfId="2929"/>
    <cellStyle name="s_DCFLBO Code_1_MODELO PDP III" xfId="2930"/>
    <cellStyle name="s_DCFLBO Code_1_ORÇ_2009" xfId="2931"/>
    <cellStyle name="s_DCFLBO Code_1_Pasta2" xfId="2932"/>
    <cellStyle name="s_DCFLBO Code_1_Q2 pipeline" xfId="2933"/>
    <cellStyle name="s_DCFLBO Code_1_Q2 pipeline 2" xfId="7799"/>
    <cellStyle name="s_DCFLBO Code_1_Q2 pipeline_Cópia de Modelo - Fluxo de Caixa Orcamento 09052009_V36_3" xfId="2934"/>
    <cellStyle name="s_DCFLBO Code_1_Q2 pipeline_Cópia de Modelo - Fluxo de Caixa Orcamento 09052009_V36_3 2" xfId="7800"/>
    <cellStyle name="s_DCFLBO Code_1_Q2 pipeline_Fluxo de Caixa Orcamento FINAL_13052009" xfId="2935"/>
    <cellStyle name="s_DCFLBO Code_1_Q2 pipeline_Fluxo de Caixa Orcamento FINAL_13052009 2" xfId="7801"/>
    <cellStyle name="s_DCFLBO Code_1_Q2 pipeline_FM_dummyV4" xfId="2936"/>
    <cellStyle name="s_DCFLBO Code_1_Q2 pipeline_lalur" xfId="2937"/>
    <cellStyle name="s_DCFLBO Code_1_Q2 pipeline_Leasing_V3" xfId="2938"/>
    <cellStyle name="s_DCFLBO Code_1_Q2 pipeline_MODELO PDP III" xfId="2939"/>
    <cellStyle name="s_DCFLBO Code_1_Q2 pipeline_ORÇ_2009" xfId="2940"/>
    <cellStyle name="s_DCFLBO Code_1_Q2 pipeline_ORÇ_2009 2" xfId="7802"/>
    <cellStyle name="s_DCFLBO Code_1_Q2 pipeline_Pasta2" xfId="2941"/>
    <cellStyle name="s_DCFLBO Code_1_Q2 pipeline_Pasta2 2" xfId="7803"/>
    <cellStyle name="s_DCFLBO Code_1_Resultados mensais - Arquivo base maio 2010" xfId="7804"/>
    <cellStyle name="s_DCFLBO Code_1_Resultados mensais - Arquivo base maio 2010_Base ITR Set-10 - Ajustes Resmat" xfId="7805"/>
    <cellStyle name="s_DCFLBO Code_1_Statement Sky - Finance" xfId="2942"/>
    <cellStyle name="s_DCFLBO Code_Base Apresentação" xfId="7806"/>
    <cellStyle name="s_DCFLBO Code_Base Apresentação_Base ITR Set-10 - Ajustes Resmat" xfId="7807"/>
    <cellStyle name="s_DCFLBO Code_Celtic DCF" xfId="2943"/>
    <cellStyle name="s_DCFLBO Code_Celtic DCF Inputs" xfId="2944"/>
    <cellStyle name="s_DCFLBO Code_Celtic DCF Inputs_Comparativo VP FIN v1_So 2008" xfId="7808"/>
    <cellStyle name="s_DCFLBO Code_Celtic DCF Inputs_Comparativo VP MKT 2008 v1_So 2008" xfId="7809"/>
    <cellStyle name="s_DCFLBO Code_Celtic DCF Inputs_Comparativo VP TEC 2008 v1_So 2008" xfId="7810"/>
    <cellStyle name="s_DCFLBO Code_Celtic DCF Inputs_Comparativo VP TEC 2008_Luiz Sergio" xfId="7811"/>
    <cellStyle name="s_DCFLBO Code_Celtic DCF Inputs_Cópia de Modelo - Fluxo de Caixa Orcamento 09052009_V36_3" xfId="2945"/>
    <cellStyle name="s_DCFLBO Code_Celtic DCF Inputs_Fluxo de Caixa Orcamento FINAL_13052009" xfId="2946"/>
    <cellStyle name="s_DCFLBO Code_Celtic DCF Inputs_FM_dummyV4" xfId="2947"/>
    <cellStyle name="s_DCFLBO Code_Celtic DCF Inputs_lalur" xfId="2948"/>
    <cellStyle name="s_DCFLBO Code_Celtic DCF Inputs_Leasing_V3" xfId="2949"/>
    <cellStyle name="s_DCFLBO Code_Celtic DCF Inputs_MODELO PDP III" xfId="2950"/>
    <cellStyle name="s_DCFLBO Code_Celtic DCF Inputs_ORÇ_2009" xfId="2951"/>
    <cellStyle name="s_DCFLBO Code_Celtic DCF Inputs_Pasta2" xfId="2952"/>
    <cellStyle name="s_DCFLBO Code_Celtic DCF_Comparativo VP FIN v1_So 2008" xfId="7812"/>
    <cellStyle name="s_DCFLBO Code_Celtic DCF_Comparativo VP MKT 2008 v1_So 2008" xfId="7813"/>
    <cellStyle name="s_DCFLBO Code_Celtic DCF_Comparativo VP TEC 2008 v1_So 2008" xfId="7814"/>
    <cellStyle name="s_DCFLBO Code_Celtic DCF_Comparativo VP TEC 2008_Luiz Sergio" xfId="7815"/>
    <cellStyle name="s_DCFLBO Code_Celtic DCF_Cópia de Modelo - Fluxo de Caixa Orcamento 09052009_V36_3" xfId="2953"/>
    <cellStyle name="s_DCFLBO Code_Celtic DCF_Fluxo de Caixa Orcamento FINAL_13052009" xfId="2954"/>
    <cellStyle name="s_DCFLBO Code_Celtic DCF_FM_dummyV4" xfId="2955"/>
    <cellStyle name="s_DCFLBO Code_Celtic DCF_lalur" xfId="2956"/>
    <cellStyle name="s_DCFLBO Code_Celtic DCF_Leasing_V3" xfId="2957"/>
    <cellStyle name="s_DCFLBO Code_Celtic DCF_MODELO PDP III" xfId="2958"/>
    <cellStyle name="s_DCFLBO Code_Celtic DCF_ORÇ_2009" xfId="2959"/>
    <cellStyle name="s_DCFLBO Code_Celtic DCF_Pasta2" xfId="2960"/>
    <cellStyle name="s_DCFLBO Code_Comparativo VP FIN v1_So 2008" xfId="7816"/>
    <cellStyle name="s_DCFLBO Code_Comparativo VP MKT 2008 v1_So 2008" xfId="7817"/>
    <cellStyle name="s_DCFLBO Code_Comparativo VP TEC 2008 v1_So 2008" xfId="7818"/>
    <cellStyle name="s_DCFLBO Code_Comparativo VP TEC 2008_Luiz Sergio" xfId="7819"/>
    <cellStyle name="s_DCFLBO Code_Controle - Dívidas_Orcamento" xfId="7820"/>
    <cellStyle name="s_DCFLBO Code_Cópia de Modelo - Fluxo de Caixa Orcamento 09052009_V36_3" xfId="2961"/>
    <cellStyle name="s_DCFLBO Code_Daily Treasury Report- Fevereiro" xfId="2962"/>
    <cellStyle name="s_DCFLBO Code_Daily Treasury Report- Fevereiro_BNDES - Calculo novo" xfId="7821"/>
    <cellStyle name="s_DCFLBO Code_Daily Treasury Report- Fevereiro_BNDES - NOVO" xfId="7822"/>
    <cellStyle name="s_DCFLBO Code_Daily Treasury Report- Fevereiro_Controle Dívida LP" xfId="7823"/>
    <cellStyle name="s_DCFLBO Code_Daily Treasury Report- Fevereiro_Controle Dívida LP - NOVO" xfId="7824"/>
    <cellStyle name="s_DCFLBO Code_Daily Treasury Report- Fevereiro_Controle Empréstimos" xfId="7825"/>
    <cellStyle name="s_DCFLBO Code_Daily Treasury Report- Fevereiro_Emprest CSFB OK" xfId="7826"/>
    <cellStyle name="s_DCFLBO Code_Daily Treasury Report- Fevereiro_Novo Financiamento BNDES" xfId="7827"/>
    <cellStyle name="s_DCFLBO Code_Daily Treasury Report- Fevereiro_Suporte DFs - V2.0" xfId="7828"/>
    <cellStyle name="s_DCFLBO Code_Daily Treasury Report- Fevereiro_teste" xfId="7829"/>
    <cellStyle name="s_DCFLBO Code_Fluxo de Caixa Orcamento FINAL_13052009" xfId="2963"/>
    <cellStyle name="s_DCFLBO Code_FM_dummyV4" xfId="2964"/>
    <cellStyle name="s_DCFLBO Code_lalur" xfId="2965"/>
    <cellStyle name="s_DCFLBO Code_Leasing_V3" xfId="2966"/>
    <cellStyle name="s_DCFLBO Code_Limites x Garantias" xfId="2967"/>
    <cellStyle name="s_DCFLBO Code_Limites x Garantias_Cópia de Modelo - Fluxo de Caixa Orcamento 09052009_V36_3" xfId="2968"/>
    <cellStyle name="s_DCFLBO Code_Limites x Garantias_Fluxo de Caixa Orcamento FINAL_13052009" xfId="2969"/>
    <cellStyle name="s_DCFLBO Code_Limites x Garantias_Liquidez" xfId="2970"/>
    <cellStyle name="s_DCFLBO Code_Limites x Garantias_Liquidez_Cópia de Modelo - Fluxo de Caixa Orcamento 09052009_V36_3" xfId="2971"/>
    <cellStyle name="s_DCFLBO Code_Limites x Garantias_Liquidez_Fluxo de Caixa Orcamento FINAL_13052009" xfId="2972"/>
    <cellStyle name="s_DCFLBO Code_Limites x Garantias_Liquidez_Pasta2" xfId="2973"/>
    <cellStyle name="s_DCFLBO Code_Limites x Garantias_Pasta2" xfId="2974"/>
    <cellStyle name="s_DCFLBO Code_Limites x Garantias_Statement Sky - Finance" xfId="2975"/>
    <cellStyle name="s_DCFLBO Code_Model_19" xfId="2976"/>
    <cellStyle name="s_DCFLBO Code_Model_19_Comparativo VP FIN v1_So 2008" xfId="7830"/>
    <cellStyle name="s_DCFLBO Code_Model_19_Comparativo VP MKT 2008 v1_So 2008" xfId="7831"/>
    <cellStyle name="s_DCFLBO Code_Model_19_Comparativo VP TEC 2008 v1_So 2008" xfId="7832"/>
    <cellStyle name="s_DCFLBO Code_Model_19_Comparativo VP TEC 2008_Luiz Sergio" xfId="7833"/>
    <cellStyle name="s_DCFLBO Code_Model_19_Cópia de Modelo - Fluxo de Caixa Orcamento 09052009_V36_3" xfId="2977"/>
    <cellStyle name="s_DCFLBO Code_Model_19_Fluxo de Caixa Orcamento FINAL_13052009" xfId="2978"/>
    <cellStyle name="s_DCFLBO Code_Model_19_FM_dummyV4" xfId="2979"/>
    <cellStyle name="s_DCFLBO Code_Model_19_lalur" xfId="2980"/>
    <cellStyle name="s_DCFLBO Code_Model_19_Leasing_V3" xfId="2981"/>
    <cellStyle name="s_DCFLBO Code_Model_19_MODELO PDP III" xfId="2982"/>
    <cellStyle name="s_DCFLBO Code_Model_19_ORÇ_2009" xfId="2983"/>
    <cellStyle name="s_DCFLBO Code_Model_19_Pasta2" xfId="2984"/>
    <cellStyle name="s_DCFLBO Code_Model_19_Q2 pipeline" xfId="2985"/>
    <cellStyle name="s_DCFLBO Code_Model_19_Q2 pipeline 2" xfId="7834"/>
    <cellStyle name="s_DCFLBO Code_Model_19_Q2 pipeline_Cópia de Modelo - Fluxo de Caixa Orcamento 09052009_V36_3" xfId="2986"/>
    <cellStyle name="s_DCFLBO Code_Model_19_Q2 pipeline_Cópia de Modelo - Fluxo de Caixa Orcamento 09052009_V36_3 2" xfId="7835"/>
    <cellStyle name="s_DCFLBO Code_Model_19_Q2 pipeline_Fluxo de Caixa Orcamento FINAL_13052009" xfId="2987"/>
    <cellStyle name="s_DCFLBO Code_Model_19_Q2 pipeline_Fluxo de Caixa Orcamento FINAL_13052009 2" xfId="7836"/>
    <cellStyle name="s_DCFLBO Code_Model_19_Q2 pipeline_FM_dummyV4" xfId="2988"/>
    <cellStyle name="s_DCFLBO Code_Model_19_Q2 pipeline_lalur" xfId="2989"/>
    <cellStyle name="s_DCFLBO Code_Model_19_Q2 pipeline_Leasing_V3" xfId="2990"/>
    <cellStyle name="s_DCFLBO Code_Model_19_Q2 pipeline_MODELO PDP III" xfId="2991"/>
    <cellStyle name="s_DCFLBO Code_Model_19_Q2 pipeline_ORÇ_2009" xfId="2992"/>
    <cellStyle name="s_DCFLBO Code_Model_19_Q2 pipeline_ORÇ_2009 2" xfId="7837"/>
    <cellStyle name="s_DCFLBO Code_Model_19_Q2 pipeline_Pasta2" xfId="2993"/>
    <cellStyle name="s_DCFLBO Code_Model_19_Q2 pipeline_Pasta2 2" xfId="7838"/>
    <cellStyle name="s_DCFLBO Code_MODELO PDP III" xfId="2994"/>
    <cellStyle name="s_DCFLBO Code_ORÇ_2009" xfId="2995"/>
    <cellStyle name="s_DCFLBO Code_Pasta2" xfId="2996"/>
    <cellStyle name="s_DCFLBO Code_Q2 pipeline" xfId="2997"/>
    <cellStyle name="s_DCFLBO Code_Q2 pipeline 2" xfId="7839"/>
    <cellStyle name="s_DCFLBO Code_Q2 pipeline_Cópia de Modelo - Fluxo de Caixa Orcamento 09052009_V36_3" xfId="2998"/>
    <cellStyle name="s_DCFLBO Code_Q2 pipeline_Cópia de Modelo - Fluxo de Caixa Orcamento 09052009_V36_3 2" xfId="7840"/>
    <cellStyle name="s_DCFLBO Code_Q2 pipeline_Fluxo de Caixa Orcamento FINAL_13052009" xfId="2999"/>
    <cellStyle name="s_DCFLBO Code_Q2 pipeline_Fluxo de Caixa Orcamento FINAL_13052009 2" xfId="7841"/>
    <cellStyle name="s_DCFLBO Code_Q2 pipeline_FM_dummyV4" xfId="3000"/>
    <cellStyle name="s_DCFLBO Code_Q2 pipeline_lalur" xfId="3001"/>
    <cellStyle name="s_DCFLBO Code_Q2 pipeline_Leasing_V3" xfId="3002"/>
    <cellStyle name="s_DCFLBO Code_Q2 pipeline_MODELO PDP III" xfId="3003"/>
    <cellStyle name="s_DCFLBO Code_Q2 pipeline_ORÇ_2009" xfId="3004"/>
    <cellStyle name="s_DCFLBO Code_Q2 pipeline_ORÇ_2009 2" xfId="7842"/>
    <cellStyle name="s_DCFLBO Code_Q2 pipeline_Pasta2" xfId="3005"/>
    <cellStyle name="s_DCFLBO Code_Q2 pipeline_Pasta2 2" xfId="7843"/>
    <cellStyle name="s_DCFLBO Code_Resultados mensais - Arquivo base maio 2010" xfId="7844"/>
    <cellStyle name="s_DCFLBO Code_Resultados mensais - Arquivo base maio 2010_Base ITR Set-10 - Ajustes Resmat" xfId="7845"/>
    <cellStyle name="s_DCFLBO Code_Rolex-Timex" xfId="3006"/>
    <cellStyle name="s_DCFLBO Code_Rolex-Timex_Comparativo VP FIN v1_So 2008" xfId="7846"/>
    <cellStyle name="s_DCFLBO Code_Rolex-Timex_Comparativo VP MKT 2008 v1_So 2008" xfId="7847"/>
    <cellStyle name="s_DCFLBO Code_Rolex-Timex_Comparativo VP TEC 2008 v1_So 2008" xfId="7848"/>
    <cellStyle name="s_DCFLBO Code_Rolex-Timex_Comparativo VP TEC 2008_Luiz Sergio" xfId="7849"/>
    <cellStyle name="s_DCFLBO Code_Rolex-Timex_Cópia de Modelo - Fluxo de Caixa Orcamento 09052009_V36_3" xfId="3007"/>
    <cellStyle name="s_DCFLBO Code_Rolex-Timex_Fluxo de Caixa Orcamento FINAL_13052009" xfId="3008"/>
    <cellStyle name="s_DCFLBO Code_Rolex-Timex_FM_dummyV4" xfId="3009"/>
    <cellStyle name="s_DCFLBO Code_Rolex-Timex_lalur" xfId="3010"/>
    <cellStyle name="s_DCFLBO Code_Rolex-Timex_Leasing_V3" xfId="3011"/>
    <cellStyle name="s_DCFLBO Code_Rolex-Timex_MODELO PDP III" xfId="3012"/>
    <cellStyle name="s_DCFLBO Code_Rolex-Timex_ORÇ_2009" xfId="3013"/>
    <cellStyle name="s_DCFLBO Code_Rolex-Timex_Pasta2" xfId="3014"/>
    <cellStyle name="s_DCFLBO Code_Statement Sky - Finance" xfId="3015"/>
    <cellStyle name="s_DCFLBO Code_Valuation Summary" xfId="3016"/>
    <cellStyle name="s_DCFLBO Code_Valuation Summary_Comparativo VP FIN v1_So 2008" xfId="7850"/>
    <cellStyle name="s_DCFLBO Code_Valuation Summary_Comparativo VP MKT 2008 v1_So 2008" xfId="7851"/>
    <cellStyle name="s_DCFLBO Code_Valuation Summary_Comparativo VP TEC 2008 v1_So 2008" xfId="7852"/>
    <cellStyle name="s_DCFLBO Code_Valuation Summary_Comparativo VP TEC 2008_Luiz Sergio" xfId="7853"/>
    <cellStyle name="s_DCFLBO Code_Valuation Summary_Cópia de Modelo - Fluxo de Caixa Orcamento 09052009_V36_3" xfId="3017"/>
    <cellStyle name="s_DCFLBO Code_Valuation Summary_Fluxo de Caixa Orcamento FINAL_13052009" xfId="3018"/>
    <cellStyle name="s_DCFLBO Code_Valuation Summary_FM_dummyV4" xfId="3019"/>
    <cellStyle name="s_DCFLBO Code_Valuation Summary_lalur" xfId="3020"/>
    <cellStyle name="s_DCFLBO Code_Valuation Summary_Leasing_V3" xfId="3021"/>
    <cellStyle name="s_DCFLBO Code_Valuation Summary_MODELO PDP III" xfId="3022"/>
    <cellStyle name="s_DCFLBO Code_Valuation Summary_ORÇ_2009" xfId="3023"/>
    <cellStyle name="s_DCFLBO Code_Valuation Summary_Pasta2" xfId="3024"/>
    <cellStyle name="s_Deal" xfId="3025"/>
    <cellStyle name="s_Deal_1" xfId="3026"/>
    <cellStyle name="s_Deal_1_Comparativo VP FIN v1_So 2008" xfId="7854"/>
    <cellStyle name="s_Deal_1_Comparativo VP MKT 2008 v1_So 2008" xfId="7855"/>
    <cellStyle name="s_Deal_1_Comparativo VP TEC 2008 v1_So 2008" xfId="7856"/>
    <cellStyle name="s_Deal_1_Comparativo VP TEC 2008_Luiz Sergio" xfId="7857"/>
    <cellStyle name="s_Deal_1_Cópia de Modelo - Fluxo de Caixa Orcamento 09052009_V36_3" xfId="3027"/>
    <cellStyle name="s_Deal_1_Fluxo de Caixa Orcamento FINAL_13052009" xfId="3028"/>
    <cellStyle name="s_Deal_1_FM_dummyV4" xfId="3029"/>
    <cellStyle name="s_Deal_1_lalur" xfId="3030"/>
    <cellStyle name="s_Deal_1_Leasing_V3" xfId="3031"/>
    <cellStyle name="s_Deal_1_MODELO PDP III" xfId="3032"/>
    <cellStyle name="s_Deal_1_ORÇ_2009" xfId="3033"/>
    <cellStyle name="s_Deal_1_Pasta2" xfId="3034"/>
    <cellStyle name="s_Deal_2" xfId="3035"/>
    <cellStyle name="s_Deal_2_Comparativo VP FIN v1_So 2008" xfId="7858"/>
    <cellStyle name="s_Deal_2_Comparativo VP MKT 2008 v1_So 2008" xfId="7859"/>
    <cellStyle name="s_Deal_2_Comparativo VP TEC 2008 v1_So 2008" xfId="7860"/>
    <cellStyle name="s_Deal_2_Comparativo VP TEC 2008_Luiz Sergio" xfId="7861"/>
    <cellStyle name="s_Deal_2_Cópia de Modelo - Fluxo de Caixa Orcamento 09052009_V36_3" xfId="3036"/>
    <cellStyle name="s_Deal_2_Fluxo de Caixa Orcamento FINAL_13052009" xfId="3037"/>
    <cellStyle name="s_Deal_2_FM_dummyV4" xfId="3038"/>
    <cellStyle name="s_Deal_2_lalur" xfId="3039"/>
    <cellStyle name="s_Deal_2_Leasing_V3" xfId="3040"/>
    <cellStyle name="s_Deal_2_MODELO PDP III" xfId="3041"/>
    <cellStyle name="s_Deal_2_ORÇ_2009" xfId="3042"/>
    <cellStyle name="s_Deal_2_Pasta2" xfId="3043"/>
    <cellStyle name="s_Deal_Comparativo VP FIN v1_So 2008" xfId="7862"/>
    <cellStyle name="s_Deal_Comparativo VP MKT 2008 v1_So 2008" xfId="7863"/>
    <cellStyle name="s_Deal_Comparativo VP TEC 2008 v1_So 2008" xfId="7864"/>
    <cellStyle name="s_Deal_Comparativo VP TEC 2008_Luiz Sergio" xfId="7865"/>
    <cellStyle name="s_Deal_Cópia de Modelo - Fluxo de Caixa Orcamento 09052009_V36_3" xfId="3044"/>
    <cellStyle name="s_Deal_Fluxo de Caixa Orcamento FINAL_13052009" xfId="3045"/>
    <cellStyle name="s_Deal_FM_dummyV4" xfId="3046"/>
    <cellStyle name="s_Deal_lalur" xfId="3047"/>
    <cellStyle name="s_Deal_Leasing_V3" xfId="3048"/>
    <cellStyle name="s_Deal_MODELO PDP III" xfId="3049"/>
    <cellStyle name="s_Deal_ORÇ_2009" xfId="3050"/>
    <cellStyle name="s_Deal_Pasta2" xfId="3051"/>
    <cellStyle name="s_Dental (2)" xfId="3052"/>
    <cellStyle name="s_Dental (2)_1" xfId="3053"/>
    <cellStyle name="s_Dental (2)_1_Comparativo VP FIN v1_So 2008" xfId="7866"/>
    <cellStyle name="s_Dental (2)_1_Comparativo VP MKT 2008 v1_So 2008" xfId="7867"/>
    <cellStyle name="s_Dental (2)_1_Comparativo VP TEC 2008 v1_So 2008" xfId="7868"/>
    <cellStyle name="s_Dental (2)_1_Comparativo VP TEC 2008_Luiz Sergio" xfId="7869"/>
    <cellStyle name="s_Dental (2)_1_Cópia de Modelo - Fluxo de Caixa Orcamento 09052009_V36_3" xfId="3054"/>
    <cellStyle name="s_Dental (2)_1_Fluxo de Caixa Orcamento FINAL_13052009" xfId="3055"/>
    <cellStyle name="s_Dental (2)_1_FM_dummyV4" xfId="3056"/>
    <cellStyle name="s_Dental (2)_1_lalur" xfId="3057"/>
    <cellStyle name="s_Dental (2)_1_Leasing_V3" xfId="3058"/>
    <cellStyle name="s_Dental (2)_1_MODELO PDP III" xfId="3059"/>
    <cellStyle name="s_Dental (2)_1_ORÇ_2009" xfId="3060"/>
    <cellStyle name="s_Dental (2)_1_Pasta2" xfId="3061"/>
    <cellStyle name="s_Dental (2)_2" xfId="3062"/>
    <cellStyle name="s_Dental (2)_2_Celtic DCF" xfId="3063"/>
    <cellStyle name="s_Dental (2)_2_Celtic DCF Inputs" xfId="3064"/>
    <cellStyle name="s_Dental (2)_2_Celtic DCF Inputs_Comparativo VP FIN v1_So 2008" xfId="7870"/>
    <cellStyle name="s_Dental (2)_2_Celtic DCF Inputs_Comparativo VP MKT 2008 v1_So 2008" xfId="7871"/>
    <cellStyle name="s_Dental (2)_2_Celtic DCF Inputs_Comparativo VP TEC 2008 v1_So 2008" xfId="7872"/>
    <cellStyle name="s_Dental (2)_2_Celtic DCF Inputs_Comparativo VP TEC 2008_Luiz Sergio" xfId="7873"/>
    <cellStyle name="s_Dental (2)_2_Celtic DCF Inputs_Cópia de Modelo - Fluxo de Caixa Orcamento 09052009_V36_3" xfId="3065"/>
    <cellStyle name="s_Dental (2)_2_Celtic DCF Inputs_Fluxo de Caixa Orcamento FINAL_13052009" xfId="3066"/>
    <cellStyle name="s_Dental (2)_2_Celtic DCF Inputs_FM_dummyV4" xfId="3067"/>
    <cellStyle name="s_Dental (2)_2_Celtic DCF Inputs_lalur" xfId="3068"/>
    <cellStyle name="s_Dental (2)_2_Celtic DCF Inputs_Leasing_V3" xfId="3069"/>
    <cellStyle name="s_Dental (2)_2_Celtic DCF Inputs_MODELO PDP III" xfId="3070"/>
    <cellStyle name="s_Dental (2)_2_Celtic DCF Inputs_ORÇ_2009" xfId="3071"/>
    <cellStyle name="s_Dental (2)_2_Celtic DCF Inputs_Pasta2" xfId="3072"/>
    <cellStyle name="s_Dental (2)_2_Celtic DCF_Comparativo VP FIN v1_So 2008" xfId="7874"/>
    <cellStyle name="s_Dental (2)_2_Celtic DCF_Comparativo VP MKT 2008 v1_So 2008" xfId="7875"/>
    <cellStyle name="s_Dental (2)_2_Celtic DCF_Comparativo VP TEC 2008 v1_So 2008" xfId="7876"/>
    <cellStyle name="s_Dental (2)_2_Celtic DCF_Comparativo VP TEC 2008_Luiz Sergio" xfId="7877"/>
    <cellStyle name="s_Dental (2)_2_Celtic DCF_Cópia de Modelo - Fluxo de Caixa Orcamento 09052009_V36_3" xfId="3073"/>
    <cellStyle name="s_Dental (2)_2_Celtic DCF_Fluxo de Caixa Orcamento FINAL_13052009" xfId="3074"/>
    <cellStyle name="s_Dental (2)_2_Celtic DCF_FM_dummyV4" xfId="3075"/>
    <cellStyle name="s_Dental (2)_2_Celtic DCF_lalur" xfId="3076"/>
    <cellStyle name="s_Dental (2)_2_Celtic DCF_Leasing_V3" xfId="3077"/>
    <cellStyle name="s_Dental (2)_2_Celtic DCF_MODELO PDP III" xfId="3078"/>
    <cellStyle name="s_Dental (2)_2_Celtic DCF_ORÇ_2009" xfId="3079"/>
    <cellStyle name="s_Dental (2)_2_Celtic DCF_Pasta2" xfId="3080"/>
    <cellStyle name="s_Dental (2)_2_Comparativo VP FIN v1_So 2008" xfId="7878"/>
    <cellStyle name="s_Dental (2)_2_Comparativo VP MKT 2008 v1_So 2008" xfId="7879"/>
    <cellStyle name="s_Dental (2)_2_Comparativo VP TEC 2008 v1_So 2008" xfId="7880"/>
    <cellStyle name="s_Dental (2)_2_Comparativo VP TEC 2008_Luiz Sergio" xfId="7881"/>
    <cellStyle name="s_Dental (2)_2_Cópia de Modelo - Fluxo de Caixa Orcamento 09052009_V36_3" xfId="3081"/>
    <cellStyle name="s_Dental (2)_2_Fluxo de Caixa Orcamento FINAL_13052009" xfId="3082"/>
    <cellStyle name="s_Dental (2)_2_FM_dummyV4" xfId="3083"/>
    <cellStyle name="s_Dental (2)_2_lalur" xfId="3084"/>
    <cellStyle name="s_Dental (2)_2_Leasing_V3" xfId="3085"/>
    <cellStyle name="s_Dental (2)_2_MODELO PDP III" xfId="3086"/>
    <cellStyle name="s_Dental (2)_2_ORÇ_2009" xfId="3087"/>
    <cellStyle name="s_Dental (2)_2_Pasta2" xfId="3088"/>
    <cellStyle name="s_Dental (2)_2_Valuation Summary" xfId="3089"/>
    <cellStyle name="s_Dental (2)_2_Valuation Summary_Comparativo VP FIN v1_So 2008" xfId="7882"/>
    <cellStyle name="s_Dental (2)_2_Valuation Summary_Comparativo VP MKT 2008 v1_So 2008" xfId="7883"/>
    <cellStyle name="s_Dental (2)_2_Valuation Summary_Comparativo VP TEC 2008 v1_So 2008" xfId="7884"/>
    <cellStyle name="s_Dental (2)_2_Valuation Summary_Comparativo VP TEC 2008_Luiz Sergio" xfId="7885"/>
    <cellStyle name="s_Dental (2)_2_Valuation Summary_Cópia de Modelo - Fluxo de Caixa Orcamento 09052009_V36_3" xfId="3090"/>
    <cellStyle name="s_Dental (2)_2_Valuation Summary_Fluxo de Caixa Orcamento FINAL_13052009" xfId="3091"/>
    <cellStyle name="s_Dental (2)_2_Valuation Summary_FM_dummyV4" xfId="3092"/>
    <cellStyle name="s_Dental (2)_2_Valuation Summary_lalur" xfId="3093"/>
    <cellStyle name="s_Dental (2)_2_Valuation Summary_Leasing_V3" xfId="3094"/>
    <cellStyle name="s_Dental (2)_2_Valuation Summary_MODELO PDP III" xfId="3095"/>
    <cellStyle name="s_Dental (2)_2_Valuation Summary_ORÇ_2009" xfId="3096"/>
    <cellStyle name="s_Dental (2)_2_Valuation Summary_Pasta2" xfId="3097"/>
    <cellStyle name="s_Dental (2)_Comparativo VP FIN v1_So 2008" xfId="7886"/>
    <cellStyle name="s_Dental (2)_Comparativo VP MKT 2008 v1_So 2008" xfId="7887"/>
    <cellStyle name="s_Dental (2)_Comparativo VP TEC 2008 v1_So 2008" xfId="7888"/>
    <cellStyle name="s_Dental (2)_Comparativo VP TEC 2008_Luiz Sergio" xfId="7889"/>
    <cellStyle name="s_Dental (2)_Cópia de Modelo - Fluxo de Caixa Orcamento 09052009_V36_3" xfId="3098"/>
    <cellStyle name="s_Dental (2)_Fluxo de Caixa Orcamento FINAL_13052009" xfId="3099"/>
    <cellStyle name="s_Dental (2)_FM_dummyV4" xfId="3100"/>
    <cellStyle name="s_Dental (2)_lalur" xfId="3101"/>
    <cellStyle name="s_Dental (2)_Leasing_V3" xfId="3102"/>
    <cellStyle name="s_Dental (2)_MODELO PDP III" xfId="3103"/>
    <cellStyle name="s_Dental (2)_ORÇ_2009" xfId="3104"/>
    <cellStyle name="s_Dental (2)_Pasta2" xfId="3105"/>
    <cellStyle name="s_Dilution" xfId="3106"/>
    <cellStyle name="s_Dilution_Comparativo VP FIN v1_So 2008" xfId="7890"/>
    <cellStyle name="s_Dilution_Comparativo VP MKT 2008 v1_So 2008" xfId="7891"/>
    <cellStyle name="s_Dilution_Comparativo VP TEC 2008 v1_So 2008" xfId="7892"/>
    <cellStyle name="s_Dilution_Comparativo VP TEC 2008_Luiz Sergio" xfId="7893"/>
    <cellStyle name="s_Dilution_Cópia de Modelo - Fluxo de Caixa Orcamento 09052009_V36_3" xfId="3107"/>
    <cellStyle name="s_Dilution_Fluxo de Caixa Orcamento FINAL_13052009" xfId="3108"/>
    <cellStyle name="s_Dilution_FM_dummyV4" xfId="3109"/>
    <cellStyle name="s_Dilution_lalur" xfId="3110"/>
    <cellStyle name="s_Dilution_Leasing_V3" xfId="3111"/>
    <cellStyle name="s_Dilution_MODELO PDP III" xfId="3112"/>
    <cellStyle name="s_Dilution_ORÇ_2009" xfId="3113"/>
    <cellStyle name="s_Dilution_Pasta2" xfId="3114"/>
    <cellStyle name="s_Dilution_Q2 pipeline" xfId="3115"/>
    <cellStyle name="s_Dilution_Q2 pipeline 2" xfId="7894"/>
    <cellStyle name="s_Dilution_Q2 pipeline_Cópia de Modelo - Fluxo de Caixa Orcamento 09052009_V36_3" xfId="3116"/>
    <cellStyle name="s_Dilution_Q2 pipeline_Cópia de Modelo - Fluxo de Caixa Orcamento 09052009_V36_3 2" xfId="7895"/>
    <cellStyle name="s_Dilution_Q2 pipeline_Fluxo de Caixa Orcamento FINAL_13052009" xfId="3117"/>
    <cellStyle name="s_Dilution_Q2 pipeline_Fluxo de Caixa Orcamento FINAL_13052009 2" xfId="7896"/>
    <cellStyle name="s_Dilution_Q2 pipeline_FM_dummyV4" xfId="3118"/>
    <cellStyle name="s_Dilution_Q2 pipeline_lalur" xfId="3119"/>
    <cellStyle name="s_Dilution_Q2 pipeline_Leasing_V3" xfId="3120"/>
    <cellStyle name="s_Dilution_Q2 pipeline_MODELO PDP III" xfId="3121"/>
    <cellStyle name="s_Dilution_Q2 pipeline_ORÇ_2009" xfId="3122"/>
    <cellStyle name="s_Dilution_Q2 pipeline_ORÇ_2009 2" xfId="7897"/>
    <cellStyle name="s_Dilution_Q2 pipeline_Pasta2" xfId="3123"/>
    <cellStyle name="s_Dilution_Q2 pipeline_Pasta2 2" xfId="7898"/>
    <cellStyle name="s_E (2)" xfId="3124"/>
    <cellStyle name="s_E (2)_1" xfId="3125"/>
    <cellStyle name="s_E (2)_1_Comparativo VP FIN v1_So 2008" xfId="7899"/>
    <cellStyle name="s_E (2)_1_Comparativo VP MKT 2008 v1_So 2008" xfId="7900"/>
    <cellStyle name="s_E (2)_1_Comparativo VP TEC 2008 v1_So 2008" xfId="7901"/>
    <cellStyle name="s_E (2)_1_Comparativo VP TEC 2008_Luiz Sergio" xfId="7902"/>
    <cellStyle name="s_E (2)_1_Cópia de Modelo - Fluxo de Caixa Orcamento 09052009_V36_3" xfId="3126"/>
    <cellStyle name="s_E (2)_1_Fluxo de Caixa Orcamento FINAL_13052009" xfId="3127"/>
    <cellStyle name="s_E (2)_1_FM_dummyV4" xfId="3128"/>
    <cellStyle name="s_E (2)_1_lalur" xfId="3129"/>
    <cellStyle name="s_E (2)_1_Leasing_V3" xfId="3130"/>
    <cellStyle name="s_E (2)_1_MODELO PDP III" xfId="3131"/>
    <cellStyle name="s_E (2)_1_ORÇ_2009" xfId="3132"/>
    <cellStyle name="s_E (2)_1_Pasta2" xfId="3133"/>
    <cellStyle name="s_E (2)_Comparativo VP FIN v1_So 2008" xfId="7903"/>
    <cellStyle name="s_E (2)_Comparativo VP MKT 2008 v1_So 2008" xfId="7904"/>
    <cellStyle name="s_E (2)_Comparativo VP TEC 2008 v1_So 2008" xfId="7905"/>
    <cellStyle name="s_E (2)_Comparativo VP TEC 2008_Luiz Sergio" xfId="7906"/>
    <cellStyle name="s_E (2)_Cópia de Modelo - Fluxo de Caixa Orcamento 09052009_V36_3" xfId="3134"/>
    <cellStyle name="s_E (2)_Fluxo de Caixa Orcamento FINAL_13052009" xfId="3135"/>
    <cellStyle name="s_E (2)_FM_dummyV4" xfId="3136"/>
    <cellStyle name="s_E (2)_lalur" xfId="3137"/>
    <cellStyle name="s_E (2)_Leasing_V3" xfId="3138"/>
    <cellStyle name="s_E (2)_MODELO PDP III" xfId="3139"/>
    <cellStyle name="s_E (2)_ORÇ_2009" xfId="3140"/>
    <cellStyle name="s_E (2)_Pasta2" xfId="3141"/>
    <cellStyle name="s_Earnings" xfId="3142"/>
    <cellStyle name="s_Earnings (2)" xfId="3143"/>
    <cellStyle name="s_Earnings (2)_1" xfId="3144"/>
    <cellStyle name="s_Earnings (2)_1_Comparativo VP FIN v1_So 2008" xfId="7907"/>
    <cellStyle name="s_Earnings (2)_1_Comparativo VP MKT 2008 v1_So 2008" xfId="7908"/>
    <cellStyle name="s_Earnings (2)_1_Comparativo VP TEC 2008 v1_So 2008" xfId="7909"/>
    <cellStyle name="s_Earnings (2)_1_Comparativo VP TEC 2008_Luiz Sergio" xfId="7910"/>
    <cellStyle name="s_Earnings (2)_1_Cópia de Modelo - Fluxo de Caixa Orcamento 09052009_V36_3" xfId="3145"/>
    <cellStyle name="s_Earnings (2)_1_Fluxo de Caixa Orcamento FINAL_13052009" xfId="3146"/>
    <cellStyle name="s_Earnings (2)_1_FM_dummyV4" xfId="3147"/>
    <cellStyle name="s_Earnings (2)_1_lalur" xfId="3148"/>
    <cellStyle name="s_Earnings (2)_1_Leasing_V3" xfId="3149"/>
    <cellStyle name="s_Earnings (2)_1_MODELO PDP III" xfId="3150"/>
    <cellStyle name="s_Earnings (2)_1_ORÇ_2009" xfId="3151"/>
    <cellStyle name="s_Earnings (2)_1_Pasta2" xfId="3152"/>
    <cellStyle name="s_Earnings (2)_Comparativo VP FIN v1_So 2008" xfId="7911"/>
    <cellStyle name="s_Earnings (2)_Comparativo VP MKT 2008 v1_So 2008" xfId="7912"/>
    <cellStyle name="s_Earnings (2)_Comparativo VP TEC 2008 v1_So 2008" xfId="7913"/>
    <cellStyle name="s_Earnings (2)_Comparativo VP TEC 2008_Luiz Sergio" xfId="7914"/>
    <cellStyle name="s_Earnings (2)_Cópia de Modelo - Fluxo de Caixa Orcamento 09052009_V36_3" xfId="3153"/>
    <cellStyle name="s_Earnings (2)_Fluxo de Caixa Orcamento FINAL_13052009" xfId="3154"/>
    <cellStyle name="s_Earnings (2)_FM_dummyV4" xfId="3155"/>
    <cellStyle name="s_Earnings (2)_lalur" xfId="3156"/>
    <cellStyle name="s_Earnings (2)_Leasing_V3" xfId="3157"/>
    <cellStyle name="s_Earnings (2)_MODELO PDP III" xfId="3158"/>
    <cellStyle name="s_Earnings (2)_ORÇ_2009" xfId="3159"/>
    <cellStyle name="s_Earnings (2)_Pasta2" xfId="3160"/>
    <cellStyle name="s_Earnings_1" xfId="3161"/>
    <cellStyle name="s_Earnings_1_AM0909" xfId="3162"/>
    <cellStyle name="s_Earnings_1_AM0909_Comparativo VP FIN v1_So 2008" xfId="7915"/>
    <cellStyle name="s_Earnings_1_AM0909_Comparativo VP MKT 2008 v1_So 2008" xfId="7916"/>
    <cellStyle name="s_Earnings_1_AM0909_Comparativo VP TEC 2008 v1_So 2008" xfId="7917"/>
    <cellStyle name="s_Earnings_1_AM0909_Comparativo VP TEC 2008_Luiz Sergio" xfId="7918"/>
    <cellStyle name="s_Earnings_1_AM0909_Cópia de Modelo - Fluxo de Caixa Orcamento 09052009_V36_3" xfId="3163"/>
    <cellStyle name="s_Earnings_1_AM0909_Fluxo de Caixa Orcamento FINAL_13052009" xfId="3164"/>
    <cellStyle name="s_Earnings_1_AM0909_FM_dummyV4" xfId="3165"/>
    <cellStyle name="s_Earnings_1_AM0909_lalur" xfId="3166"/>
    <cellStyle name="s_Earnings_1_AM0909_Leasing_V3" xfId="3167"/>
    <cellStyle name="s_Earnings_1_AM0909_MODELO PDP III" xfId="3168"/>
    <cellStyle name="s_Earnings_1_AM0909_ORÇ_2009" xfId="3169"/>
    <cellStyle name="s_Earnings_1_AM0909_Pasta2" xfId="3170"/>
    <cellStyle name="s_Earnings_1_Brenner" xfId="3171"/>
    <cellStyle name="s_Earnings_1_Brenner_Comparativo VP FIN v1_So 2008" xfId="7919"/>
    <cellStyle name="s_Earnings_1_Brenner_Comparativo VP MKT 2008 v1_So 2008" xfId="7920"/>
    <cellStyle name="s_Earnings_1_Brenner_Comparativo VP TEC 2008 v1_So 2008" xfId="7921"/>
    <cellStyle name="s_Earnings_1_Brenner_Comparativo VP TEC 2008_Luiz Sergio" xfId="7922"/>
    <cellStyle name="s_Earnings_1_Brenner_Cópia de Modelo - Fluxo de Caixa Orcamento 09052009_V36_3" xfId="3172"/>
    <cellStyle name="s_Earnings_1_Brenner_Fluxo de Caixa Orcamento FINAL_13052009" xfId="3173"/>
    <cellStyle name="s_Earnings_1_Brenner_FM_dummyV4" xfId="3174"/>
    <cellStyle name="s_Earnings_1_Brenner_lalur" xfId="3175"/>
    <cellStyle name="s_Earnings_1_Brenner_Leasing_V3" xfId="3176"/>
    <cellStyle name="s_Earnings_1_Brenner_MODELO PDP III" xfId="3177"/>
    <cellStyle name="s_Earnings_1_Brenner_ORÇ_2009" xfId="3178"/>
    <cellStyle name="s_Earnings_1_Brenner_Pasta2" xfId="3179"/>
    <cellStyle name="s_Earnings_1_Comparativo VP FIN v1_So 2008" xfId="7923"/>
    <cellStyle name="s_Earnings_1_Comparativo VP MKT 2008 v1_So 2008" xfId="7924"/>
    <cellStyle name="s_Earnings_1_Comparativo VP TEC 2008 v1_So 2008" xfId="7925"/>
    <cellStyle name="s_Earnings_1_Comparativo VP TEC 2008_Luiz Sergio" xfId="7926"/>
    <cellStyle name="s_Earnings_1_Cópia de Modelo - Fluxo de Caixa Orcamento 09052009_V36_3" xfId="3180"/>
    <cellStyle name="s_Earnings_1_Fluxo de Caixa Orcamento FINAL_13052009" xfId="3181"/>
    <cellStyle name="s_Earnings_1_FM_dummyV4" xfId="3182"/>
    <cellStyle name="s_Earnings_1_lalur" xfId="3183"/>
    <cellStyle name="s_Earnings_1_Leasing_V3" xfId="3184"/>
    <cellStyle name="s_Earnings_1_MODELO PDP III" xfId="3185"/>
    <cellStyle name="s_Earnings_1_ORÇ_2009" xfId="3186"/>
    <cellStyle name="s_Earnings_1_Pasta2" xfId="3187"/>
    <cellStyle name="s_Earnings_2" xfId="3188"/>
    <cellStyle name="s_Earnings_2_AM0909" xfId="3189"/>
    <cellStyle name="s_Earnings_2_AM0909_Comparativo VP FIN v1_So 2008" xfId="7927"/>
    <cellStyle name="s_Earnings_2_AM0909_Comparativo VP MKT 2008 v1_So 2008" xfId="7928"/>
    <cellStyle name="s_Earnings_2_AM0909_Comparativo VP TEC 2008 v1_So 2008" xfId="7929"/>
    <cellStyle name="s_Earnings_2_AM0909_Comparativo VP TEC 2008_Luiz Sergio" xfId="7930"/>
    <cellStyle name="s_Earnings_2_AM0909_Cópia de Modelo - Fluxo de Caixa Orcamento 09052009_V36_3" xfId="3190"/>
    <cellStyle name="s_Earnings_2_AM0909_Fluxo de Caixa Orcamento FINAL_13052009" xfId="3191"/>
    <cellStyle name="s_Earnings_2_AM0909_FM_dummyV4" xfId="3192"/>
    <cellStyle name="s_Earnings_2_AM0909_lalur" xfId="3193"/>
    <cellStyle name="s_Earnings_2_AM0909_Leasing_V3" xfId="3194"/>
    <cellStyle name="s_Earnings_2_AM0909_MODELO PDP III" xfId="3195"/>
    <cellStyle name="s_Earnings_2_AM0909_ORÇ_2009" xfId="3196"/>
    <cellStyle name="s_Earnings_2_AM0909_Pasta2" xfId="3197"/>
    <cellStyle name="s_Earnings_2_Brenner" xfId="3198"/>
    <cellStyle name="s_Earnings_2_Brenner_Comparativo VP FIN v1_So 2008" xfId="7931"/>
    <cellStyle name="s_Earnings_2_Brenner_Comparativo VP MKT 2008 v1_So 2008" xfId="7932"/>
    <cellStyle name="s_Earnings_2_Brenner_Comparativo VP TEC 2008 v1_So 2008" xfId="7933"/>
    <cellStyle name="s_Earnings_2_Brenner_Comparativo VP TEC 2008_Luiz Sergio" xfId="7934"/>
    <cellStyle name="s_Earnings_2_Brenner_Cópia de Modelo - Fluxo de Caixa Orcamento 09052009_V36_3" xfId="3199"/>
    <cellStyle name="s_Earnings_2_Brenner_Fluxo de Caixa Orcamento FINAL_13052009" xfId="3200"/>
    <cellStyle name="s_Earnings_2_Brenner_FM_dummyV4" xfId="3201"/>
    <cellStyle name="s_Earnings_2_Brenner_lalur" xfId="3202"/>
    <cellStyle name="s_Earnings_2_Brenner_Leasing_V3" xfId="3203"/>
    <cellStyle name="s_Earnings_2_Brenner_MODELO PDP III" xfId="3204"/>
    <cellStyle name="s_Earnings_2_Brenner_ORÇ_2009" xfId="3205"/>
    <cellStyle name="s_Earnings_2_Brenner_Pasta2" xfId="3206"/>
    <cellStyle name="s_Earnings_2_Comparativo VP FIN v1_So 2008" xfId="7935"/>
    <cellStyle name="s_Earnings_2_Comparativo VP MKT 2008 v1_So 2008" xfId="7936"/>
    <cellStyle name="s_Earnings_2_Comparativo VP TEC 2008 v1_So 2008" xfId="7937"/>
    <cellStyle name="s_Earnings_2_Comparativo VP TEC 2008_Luiz Sergio" xfId="7938"/>
    <cellStyle name="s_Earnings_2_Cópia de Modelo - Fluxo de Caixa Orcamento 09052009_V36_3" xfId="3207"/>
    <cellStyle name="s_Earnings_2_Fluxo de Caixa Orcamento FINAL_13052009" xfId="3208"/>
    <cellStyle name="s_Earnings_2_FM_dummyV4" xfId="3209"/>
    <cellStyle name="s_Earnings_2_lalur" xfId="3210"/>
    <cellStyle name="s_Earnings_2_Leasing_V3" xfId="3211"/>
    <cellStyle name="s_Earnings_2_MODELO PDP III" xfId="3212"/>
    <cellStyle name="s_Earnings_2_ORÇ_2009" xfId="3213"/>
    <cellStyle name="s_Earnings_2_Pasta2" xfId="3214"/>
    <cellStyle name="s_Earnings_AM0909" xfId="3215"/>
    <cellStyle name="s_Earnings_AM0909_Comparativo VP FIN v1_So 2008" xfId="7939"/>
    <cellStyle name="s_Earnings_AM0909_Comparativo VP MKT 2008 v1_So 2008" xfId="7940"/>
    <cellStyle name="s_Earnings_AM0909_Comparativo VP TEC 2008 v1_So 2008" xfId="7941"/>
    <cellStyle name="s_Earnings_AM0909_Comparativo VP TEC 2008_Luiz Sergio" xfId="7942"/>
    <cellStyle name="s_Earnings_AM0909_Cópia de Modelo - Fluxo de Caixa Orcamento 09052009_V36_3" xfId="3216"/>
    <cellStyle name="s_Earnings_AM0909_Fluxo de Caixa Orcamento FINAL_13052009" xfId="3217"/>
    <cellStyle name="s_Earnings_AM0909_FM_dummyV4" xfId="3218"/>
    <cellStyle name="s_Earnings_AM0909_lalur" xfId="3219"/>
    <cellStyle name="s_Earnings_AM0909_Leasing_V3" xfId="3220"/>
    <cellStyle name="s_Earnings_AM0909_MODELO PDP III" xfId="3221"/>
    <cellStyle name="s_Earnings_AM0909_ORÇ_2009" xfId="3222"/>
    <cellStyle name="s_Earnings_AM0909_Pasta2" xfId="3223"/>
    <cellStyle name="s_Earnings_Brenner" xfId="3224"/>
    <cellStyle name="s_Earnings_Brenner_Comparativo VP FIN v1_So 2008" xfId="7943"/>
    <cellStyle name="s_Earnings_Brenner_Comparativo VP MKT 2008 v1_So 2008" xfId="7944"/>
    <cellStyle name="s_Earnings_Brenner_Comparativo VP TEC 2008 v1_So 2008" xfId="7945"/>
    <cellStyle name="s_Earnings_Brenner_Comparativo VP TEC 2008_Luiz Sergio" xfId="7946"/>
    <cellStyle name="s_Earnings_Brenner_Cópia de Modelo - Fluxo de Caixa Orcamento 09052009_V36_3" xfId="3225"/>
    <cellStyle name="s_Earnings_Brenner_Fluxo de Caixa Orcamento FINAL_13052009" xfId="3226"/>
    <cellStyle name="s_Earnings_Brenner_FM_dummyV4" xfId="3227"/>
    <cellStyle name="s_Earnings_Brenner_lalur" xfId="3228"/>
    <cellStyle name="s_Earnings_Brenner_Leasing_V3" xfId="3229"/>
    <cellStyle name="s_Earnings_Brenner_MODELO PDP III" xfId="3230"/>
    <cellStyle name="s_Earnings_Brenner_ORÇ_2009" xfId="3231"/>
    <cellStyle name="s_Earnings_Brenner_Pasta2" xfId="3232"/>
    <cellStyle name="s_Earnings_Comparativo VP FIN v1_So 2008" xfId="7947"/>
    <cellStyle name="s_Earnings_Comparativo VP MKT 2008 v1_So 2008" xfId="7948"/>
    <cellStyle name="s_Earnings_Comparativo VP TEC 2008 v1_So 2008" xfId="7949"/>
    <cellStyle name="s_Earnings_Comparativo VP TEC 2008_Luiz Sergio" xfId="7950"/>
    <cellStyle name="s_Earnings_Cópia de Modelo - Fluxo de Caixa Orcamento 09052009_V36_3" xfId="3233"/>
    <cellStyle name="s_Earnings_Fluxo de Caixa Orcamento FINAL_13052009" xfId="3234"/>
    <cellStyle name="s_Earnings_FM_dummyV4" xfId="3235"/>
    <cellStyle name="s_Earnings_lalur" xfId="3236"/>
    <cellStyle name="s_Earnings_Leasing_V3" xfId="3237"/>
    <cellStyle name="s_Earnings_MODELO PDP III" xfId="3238"/>
    <cellStyle name="s_Earnings_ORÇ_2009" xfId="3239"/>
    <cellStyle name="s_Earnings_Pasta2" xfId="3240"/>
    <cellStyle name="s_East Coast (2)" xfId="3241"/>
    <cellStyle name="s_East Coast (2)_1" xfId="3242"/>
    <cellStyle name="s_East Coast (2)_1_Comparativo VP FIN v1_So 2008" xfId="7951"/>
    <cellStyle name="s_East Coast (2)_1_Comparativo VP MKT 2008 v1_So 2008" xfId="7952"/>
    <cellStyle name="s_East Coast (2)_1_Comparativo VP TEC 2008 v1_So 2008" xfId="7953"/>
    <cellStyle name="s_East Coast (2)_1_Comparativo VP TEC 2008_Luiz Sergio" xfId="7954"/>
    <cellStyle name="s_East Coast (2)_1_Cópia de Modelo - Fluxo de Caixa Orcamento 09052009_V36_3" xfId="3243"/>
    <cellStyle name="s_East Coast (2)_1_Fluxo de Caixa Orcamento FINAL_13052009" xfId="3244"/>
    <cellStyle name="s_East Coast (2)_1_FM_dummyV4" xfId="3245"/>
    <cellStyle name="s_East Coast (2)_1_lalur" xfId="3246"/>
    <cellStyle name="s_East Coast (2)_1_Leasing_V3" xfId="3247"/>
    <cellStyle name="s_East Coast (2)_1_MODELO PDP III" xfId="3248"/>
    <cellStyle name="s_East Coast (2)_1_ORÇ_2009" xfId="3249"/>
    <cellStyle name="s_East Coast (2)_1_Pasta2" xfId="3250"/>
    <cellStyle name="s_East Coast (2)_2" xfId="3251"/>
    <cellStyle name="s_East Coast (2)_2_Comparativo VP FIN v1_So 2008" xfId="7955"/>
    <cellStyle name="s_East Coast (2)_2_Comparativo VP MKT 2008 v1_So 2008" xfId="7956"/>
    <cellStyle name="s_East Coast (2)_2_Comparativo VP TEC 2008 v1_So 2008" xfId="7957"/>
    <cellStyle name="s_East Coast (2)_2_Comparativo VP TEC 2008_Luiz Sergio" xfId="7958"/>
    <cellStyle name="s_East Coast (2)_2_Cópia de Modelo - Fluxo de Caixa Orcamento 09052009_V36_3" xfId="3252"/>
    <cellStyle name="s_East Coast (2)_2_Fluxo de Caixa Orcamento FINAL_13052009" xfId="3253"/>
    <cellStyle name="s_East Coast (2)_2_FM_dummyV4" xfId="3254"/>
    <cellStyle name="s_East Coast (2)_2_lalur" xfId="3255"/>
    <cellStyle name="s_East Coast (2)_2_Leasing_V3" xfId="3256"/>
    <cellStyle name="s_East Coast (2)_2_MODELO PDP III" xfId="3257"/>
    <cellStyle name="s_East Coast (2)_2_ORÇ_2009" xfId="3258"/>
    <cellStyle name="s_East Coast (2)_2_Pasta2" xfId="3259"/>
    <cellStyle name="s_East Coast (2)_Comparativo VP FIN v1_So 2008" xfId="7959"/>
    <cellStyle name="s_East Coast (2)_Comparativo VP MKT 2008 v1_So 2008" xfId="7960"/>
    <cellStyle name="s_East Coast (2)_Comparativo VP TEC 2008 v1_So 2008" xfId="7961"/>
    <cellStyle name="s_East Coast (2)_Comparativo VP TEC 2008_Luiz Sergio" xfId="7962"/>
    <cellStyle name="s_East Coast (2)_Cópia de Modelo - Fluxo de Caixa Orcamento 09052009_V36_3" xfId="3260"/>
    <cellStyle name="s_East Coast (2)_Fluxo de Caixa Orcamento FINAL_13052009" xfId="3261"/>
    <cellStyle name="s_East Coast (2)_FM_dummyV4" xfId="3262"/>
    <cellStyle name="s_East Coast (2)_lalur" xfId="3263"/>
    <cellStyle name="s_East Coast (2)_Leasing_V3" xfId="3264"/>
    <cellStyle name="s_East Coast (2)_MODELO PDP III" xfId="3265"/>
    <cellStyle name="s_East Coast (2)_ORÇ_2009" xfId="3266"/>
    <cellStyle name="s_East Coast (2)_Pasta2" xfId="3267"/>
    <cellStyle name="s_Fin Graph" xfId="3268"/>
    <cellStyle name="s_Fin Graph_1" xfId="3269"/>
    <cellStyle name="s_Fin Graph_1_Comparativo VP FIN v1_So 2008" xfId="7963"/>
    <cellStyle name="s_Fin Graph_1_Comparativo VP MKT 2008 v1_So 2008" xfId="7964"/>
    <cellStyle name="s_Fin Graph_1_Comparativo VP TEC 2008 v1_So 2008" xfId="7965"/>
    <cellStyle name="s_Fin Graph_1_Comparativo VP TEC 2008_Luiz Sergio" xfId="7966"/>
    <cellStyle name="s_Fin Graph_1_Cópia de Modelo - Fluxo de Caixa Orcamento 09052009_V36_3" xfId="3270"/>
    <cellStyle name="s_Fin Graph_1_Fluxo de Caixa Orcamento FINAL_13052009" xfId="3271"/>
    <cellStyle name="s_Fin Graph_1_FM_dummyV4" xfId="3272"/>
    <cellStyle name="s_Fin Graph_1_lalur" xfId="3273"/>
    <cellStyle name="s_Fin Graph_1_Leasing_V3" xfId="3274"/>
    <cellStyle name="s_Fin Graph_1_MODELO PDP III" xfId="3275"/>
    <cellStyle name="s_Fin Graph_1_ORÇ_2009" xfId="3276"/>
    <cellStyle name="s_Fin Graph_1_Pasta2" xfId="3277"/>
    <cellStyle name="s_Fin Graph_2" xfId="3278"/>
    <cellStyle name="s_Fin Graph_2_Comparativo VP FIN v1_So 2008" xfId="7967"/>
    <cellStyle name="s_Fin Graph_2_Comparativo VP MKT 2008 v1_So 2008" xfId="7968"/>
    <cellStyle name="s_Fin Graph_2_Comparativo VP TEC 2008 v1_So 2008" xfId="7969"/>
    <cellStyle name="s_Fin Graph_2_Comparativo VP TEC 2008_Luiz Sergio" xfId="7970"/>
    <cellStyle name="s_Fin Graph_2_Cópia de Modelo - Fluxo de Caixa Orcamento 09052009_V36_3" xfId="3279"/>
    <cellStyle name="s_Fin Graph_2_Fluxo de Caixa Orcamento FINAL_13052009" xfId="3280"/>
    <cellStyle name="s_Fin Graph_2_FM_dummyV4" xfId="3281"/>
    <cellStyle name="s_Fin Graph_2_lalur" xfId="3282"/>
    <cellStyle name="s_Fin Graph_2_Leasing_V3" xfId="3283"/>
    <cellStyle name="s_Fin Graph_2_MODELO PDP III" xfId="3284"/>
    <cellStyle name="s_Fin Graph_2_ORÇ_2009" xfId="3285"/>
    <cellStyle name="s_Fin Graph_2_Pasta2" xfId="3286"/>
    <cellStyle name="s_Fin Graph_Comparativo VP FIN v1_So 2008" xfId="7971"/>
    <cellStyle name="s_Fin Graph_Comparativo VP MKT 2008 v1_So 2008" xfId="7972"/>
    <cellStyle name="s_Fin Graph_Comparativo VP TEC 2008 v1_So 2008" xfId="7973"/>
    <cellStyle name="s_Fin Graph_Comparativo VP TEC 2008_Luiz Sergio" xfId="7974"/>
    <cellStyle name="s_Fin Graph_Cópia de Modelo - Fluxo de Caixa Orcamento 09052009_V36_3" xfId="3287"/>
    <cellStyle name="s_Fin Graph_Fluxo de Caixa Orcamento FINAL_13052009" xfId="3288"/>
    <cellStyle name="s_Fin Graph_FM_dummyV4" xfId="3289"/>
    <cellStyle name="s_Fin Graph_lalur" xfId="3290"/>
    <cellStyle name="s_Fin Graph_Leasing_V3" xfId="3291"/>
    <cellStyle name="s_Fin Graph_MODELO PDP III" xfId="3292"/>
    <cellStyle name="s_Fin Graph_ORÇ_2009" xfId="3293"/>
    <cellStyle name="s_Fin Graph_Pasta2" xfId="3294"/>
    <cellStyle name="s_Financials_B" xfId="3295"/>
    <cellStyle name="s_Financials_B_Comparativo VP FIN v1_So 2008" xfId="7975"/>
    <cellStyle name="s_Financials_B_Comparativo VP MKT 2008 v1_So 2008" xfId="7976"/>
    <cellStyle name="s_Financials_B_Comparativo VP TEC 2008 v1_So 2008" xfId="7977"/>
    <cellStyle name="s_Financials_B_Comparativo VP TEC 2008_Luiz Sergio" xfId="7978"/>
    <cellStyle name="s_Financials_B_Cópia de Modelo - Fluxo de Caixa Orcamento 09052009_V36_3" xfId="3296"/>
    <cellStyle name="s_Financials_B_Fluxo de Caixa Orcamento FINAL_13052009" xfId="3297"/>
    <cellStyle name="s_Financials_B_FM_dummyV4" xfId="3298"/>
    <cellStyle name="s_Financials_B_lalur" xfId="3299"/>
    <cellStyle name="s_Financials_B_Leasing_V3" xfId="3300"/>
    <cellStyle name="s_Financials_B_MODELO PDP III" xfId="3301"/>
    <cellStyle name="s_Financials_B_ORÇ_2009" xfId="3302"/>
    <cellStyle name="s_Financials_B_Pasta2" xfId="3303"/>
    <cellStyle name="s_Financials_B_Q2 pipeline" xfId="3304"/>
    <cellStyle name="s_Financials_B_Q2 pipeline 2" xfId="7979"/>
    <cellStyle name="s_Financials_B_Q2 pipeline_Cópia de Modelo - Fluxo de Caixa Orcamento 09052009_V36_3" xfId="3305"/>
    <cellStyle name="s_Financials_B_Q2 pipeline_Cópia de Modelo - Fluxo de Caixa Orcamento 09052009_V36_3 2" xfId="7980"/>
    <cellStyle name="s_Financials_B_Q2 pipeline_Fluxo de Caixa Orcamento FINAL_13052009" xfId="3306"/>
    <cellStyle name="s_Financials_B_Q2 pipeline_Fluxo de Caixa Orcamento FINAL_13052009 2" xfId="7981"/>
    <cellStyle name="s_Financials_B_Q2 pipeline_FM_dummyV4" xfId="3307"/>
    <cellStyle name="s_Financials_B_Q2 pipeline_lalur" xfId="3308"/>
    <cellStyle name="s_Financials_B_Q2 pipeline_Leasing_V3" xfId="3309"/>
    <cellStyle name="s_Financials_B_Q2 pipeline_MODELO PDP III" xfId="3310"/>
    <cellStyle name="s_Financials_B_Q2 pipeline_ORÇ_2009" xfId="3311"/>
    <cellStyle name="s_Financials_B_Q2 pipeline_ORÇ_2009 2" xfId="7982"/>
    <cellStyle name="s_Financials_B_Q2 pipeline_Pasta2" xfId="3312"/>
    <cellStyle name="s_Financials_B_Q2 pipeline_Pasta2 2" xfId="7983"/>
    <cellStyle name="s_Financials_T" xfId="3313"/>
    <cellStyle name="s_Financials_T_Comparativo VP FIN v1_So 2008" xfId="7984"/>
    <cellStyle name="s_Financials_T_Comparativo VP MKT 2008 v1_So 2008" xfId="7985"/>
    <cellStyle name="s_Financials_T_Comparativo VP TEC 2008 v1_So 2008" xfId="7986"/>
    <cellStyle name="s_Financials_T_Comparativo VP TEC 2008_Luiz Sergio" xfId="7987"/>
    <cellStyle name="s_Financials_T_Cópia de Modelo - Fluxo de Caixa Orcamento 09052009_V36_3" xfId="3314"/>
    <cellStyle name="s_Financials_T_Fluxo de Caixa Orcamento FINAL_13052009" xfId="3315"/>
    <cellStyle name="s_Financials_T_FM_dummyV4" xfId="3316"/>
    <cellStyle name="s_Financials_T_lalur" xfId="3317"/>
    <cellStyle name="s_Financials_T_Leasing_V3" xfId="3318"/>
    <cellStyle name="s_Financials_T_MODELO PDP III" xfId="3319"/>
    <cellStyle name="s_Financials_T_ORÇ_2009" xfId="3320"/>
    <cellStyle name="s_Financials_T_Pasta2" xfId="3321"/>
    <cellStyle name="s_Financials_T_Q2 pipeline" xfId="3322"/>
    <cellStyle name="s_Financials_T_Q2 pipeline 2" xfId="7988"/>
    <cellStyle name="s_Financials_T_Q2 pipeline_Cópia de Modelo - Fluxo de Caixa Orcamento 09052009_V36_3" xfId="3323"/>
    <cellStyle name="s_Financials_T_Q2 pipeline_Cópia de Modelo - Fluxo de Caixa Orcamento 09052009_V36_3 2" xfId="7989"/>
    <cellStyle name="s_Financials_T_Q2 pipeline_Fluxo de Caixa Orcamento FINAL_13052009" xfId="3324"/>
    <cellStyle name="s_Financials_T_Q2 pipeline_Fluxo de Caixa Orcamento FINAL_13052009 2" xfId="7990"/>
    <cellStyle name="s_Financials_T_Q2 pipeline_FM_dummyV4" xfId="3325"/>
    <cellStyle name="s_Financials_T_Q2 pipeline_lalur" xfId="3326"/>
    <cellStyle name="s_Financials_T_Q2 pipeline_Leasing_V3" xfId="3327"/>
    <cellStyle name="s_Financials_T_Q2 pipeline_MODELO PDP III" xfId="3328"/>
    <cellStyle name="s_Financials_T_Q2 pipeline_ORÇ_2009" xfId="3329"/>
    <cellStyle name="s_Financials_T_Q2 pipeline_ORÇ_2009 2" xfId="7991"/>
    <cellStyle name="s_Financials_T_Q2 pipeline_Pasta2" xfId="3330"/>
    <cellStyle name="s_Financials_T_Q2 pipeline_Pasta2 2" xfId="7992"/>
    <cellStyle name="s_Florida (2)" xfId="3331"/>
    <cellStyle name="s_Florida (2)_1" xfId="3332"/>
    <cellStyle name="s_Florida (2)_1_Comparativo VP FIN v1_So 2008" xfId="7993"/>
    <cellStyle name="s_Florida (2)_1_Comparativo VP MKT 2008 v1_So 2008" xfId="7994"/>
    <cellStyle name="s_Florida (2)_1_Comparativo VP TEC 2008 v1_So 2008" xfId="7995"/>
    <cellStyle name="s_Florida (2)_1_Comparativo VP TEC 2008_Luiz Sergio" xfId="7996"/>
    <cellStyle name="s_Florida (2)_1_Cópia de Modelo - Fluxo de Caixa Orcamento 09052009_V36_3" xfId="3333"/>
    <cellStyle name="s_Florida (2)_1_Fluxo de Caixa Orcamento FINAL_13052009" xfId="3334"/>
    <cellStyle name="s_Florida (2)_1_FM_dummyV4" xfId="3335"/>
    <cellStyle name="s_Florida (2)_1_lalur" xfId="3336"/>
    <cellStyle name="s_Florida (2)_1_Leasing_V3" xfId="3337"/>
    <cellStyle name="s_Florida (2)_1_MODELO PDP III" xfId="3338"/>
    <cellStyle name="s_Florida (2)_1_ORÇ_2009" xfId="3339"/>
    <cellStyle name="s_Florida (2)_1_Pasta2" xfId="3340"/>
    <cellStyle name="s_Florida (2)_2" xfId="3341"/>
    <cellStyle name="s_Florida (2)_2_Comparativo VP FIN v1_So 2008" xfId="7997"/>
    <cellStyle name="s_Florida (2)_2_Comparativo VP MKT 2008 v1_So 2008" xfId="7998"/>
    <cellStyle name="s_Florida (2)_2_Comparativo VP TEC 2008 v1_So 2008" xfId="7999"/>
    <cellStyle name="s_Florida (2)_2_Comparativo VP TEC 2008_Luiz Sergio" xfId="8000"/>
    <cellStyle name="s_Florida (2)_2_Cópia de Modelo - Fluxo de Caixa Orcamento 09052009_V36_3" xfId="3342"/>
    <cellStyle name="s_Florida (2)_2_Fluxo de Caixa Orcamento FINAL_13052009" xfId="3343"/>
    <cellStyle name="s_Florida (2)_2_FM_dummyV4" xfId="3344"/>
    <cellStyle name="s_Florida (2)_2_lalur" xfId="3345"/>
    <cellStyle name="s_Florida (2)_2_Leasing_V3" xfId="3346"/>
    <cellStyle name="s_Florida (2)_2_MODELO PDP III" xfId="3347"/>
    <cellStyle name="s_Florida (2)_2_ORÇ_2009" xfId="3348"/>
    <cellStyle name="s_Florida (2)_2_Pasta2" xfId="3349"/>
    <cellStyle name="s_Florida (2)_Comparativo VP FIN v1_So 2008" xfId="8001"/>
    <cellStyle name="s_Florida (2)_Comparativo VP MKT 2008 v1_So 2008" xfId="8002"/>
    <cellStyle name="s_Florida (2)_Comparativo VP TEC 2008 v1_So 2008" xfId="8003"/>
    <cellStyle name="s_Florida (2)_Comparativo VP TEC 2008_Luiz Sergio" xfId="8004"/>
    <cellStyle name="s_Florida (2)_Cópia de Modelo - Fluxo de Caixa Orcamento 09052009_V36_3" xfId="3350"/>
    <cellStyle name="s_Florida (2)_Fluxo de Caixa Orcamento FINAL_13052009" xfId="3351"/>
    <cellStyle name="s_Florida (2)_FM_dummyV4" xfId="3352"/>
    <cellStyle name="s_Florida (2)_lalur" xfId="3353"/>
    <cellStyle name="s_Florida (2)_Leasing_V3" xfId="3354"/>
    <cellStyle name="s_Florida (2)_MODELO PDP III" xfId="3355"/>
    <cellStyle name="s_Florida (2)_ORÇ_2009" xfId="3356"/>
    <cellStyle name="s_Florida (2)_Pasta2" xfId="3357"/>
    <cellStyle name="s_Fluxo de Caixa Orcamento FINAL_13052009" xfId="3358"/>
    <cellStyle name="s_FM_dummyV4" xfId="3359"/>
    <cellStyle name="s_G" xfId="3360"/>
    <cellStyle name="s_G_1" xfId="3361"/>
    <cellStyle name="s_G_1_Comparativo VP FIN v1_So 2008" xfId="8005"/>
    <cellStyle name="s_G_1_Comparativo VP MKT 2008 v1_So 2008" xfId="8006"/>
    <cellStyle name="s_G_1_Comparativo VP TEC 2008 v1_So 2008" xfId="8007"/>
    <cellStyle name="s_G_1_Comparativo VP TEC 2008_Luiz Sergio" xfId="8008"/>
    <cellStyle name="s_G_1_Cópia de Modelo - Fluxo de Caixa Orcamento 09052009_V36_3" xfId="3362"/>
    <cellStyle name="s_G_1_Fluxo de Caixa Orcamento FINAL_13052009" xfId="3363"/>
    <cellStyle name="s_G_1_FM_dummyV4" xfId="3364"/>
    <cellStyle name="s_G_1_lalur" xfId="3365"/>
    <cellStyle name="s_G_1_Leasing_V3" xfId="3366"/>
    <cellStyle name="s_G_1_MODELO PDP III" xfId="3367"/>
    <cellStyle name="s_G_1_ORÇ_2009" xfId="3368"/>
    <cellStyle name="s_G_1_Pasta2" xfId="3369"/>
    <cellStyle name="s_G_Comparativo VP FIN v1_So 2008" xfId="8009"/>
    <cellStyle name="s_G_Comparativo VP MKT 2008 v1_So 2008" xfId="8010"/>
    <cellStyle name="s_G_Comparativo VP TEC 2008 v1_So 2008" xfId="8011"/>
    <cellStyle name="s_G_Comparativo VP TEC 2008_Luiz Sergio" xfId="8012"/>
    <cellStyle name="s_G_Cópia de Modelo - Fluxo de Caixa Orcamento 09052009_V36_3" xfId="3370"/>
    <cellStyle name="s_G_Fluxo de Caixa Orcamento FINAL_13052009" xfId="3371"/>
    <cellStyle name="s_G_FM_dummyV4" xfId="3372"/>
    <cellStyle name="s_G_lalur" xfId="3373"/>
    <cellStyle name="s_G_Leasing_V3" xfId="3374"/>
    <cellStyle name="s_G_MODELO PDP III" xfId="3375"/>
    <cellStyle name="s_G_ORÇ_2009" xfId="3376"/>
    <cellStyle name="s_G_Pasta2" xfId="3377"/>
    <cellStyle name="s_Georgia (2)" xfId="3378"/>
    <cellStyle name="s_Georgia (2)_1" xfId="3379"/>
    <cellStyle name="s_Georgia (2)_1_Comparativo VP FIN v1_So 2008" xfId="8013"/>
    <cellStyle name="s_Georgia (2)_1_Comparativo VP MKT 2008 v1_So 2008" xfId="8014"/>
    <cellStyle name="s_Georgia (2)_1_Comparativo VP TEC 2008 v1_So 2008" xfId="8015"/>
    <cellStyle name="s_Georgia (2)_1_Comparativo VP TEC 2008_Luiz Sergio" xfId="8016"/>
    <cellStyle name="s_Georgia (2)_1_Cópia de Modelo - Fluxo de Caixa Orcamento 09052009_V36_3" xfId="3380"/>
    <cellStyle name="s_Georgia (2)_1_Fluxo de Caixa Orcamento FINAL_13052009" xfId="3381"/>
    <cellStyle name="s_Georgia (2)_1_FM_dummyV4" xfId="3382"/>
    <cellStyle name="s_Georgia (2)_1_lalur" xfId="3383"/>
    <cellStyle name="s_Georgia (2)_1_Leasing_V3" xfId="3384"/>
    <cellStyle name="s_Georgia (2)_1_MODELO PDP III" xfId="3385"/>
    <cellStyle name="s_Georgia (2)_1_ORÇ_2009" xfId="3386"/>
    <cellStyle name="s_Georgia (2)_1_Pasta2" xfId="3387"/>
    <cellStyle name="s_Georgia (2)_Comparativo VP FIN v1_So 2008" xfId="8017"/>
    <cellStyle name="s_Georgia (2)_Comparativo VP MKT 2008 v1_So 2008" xfId="8018"/>
    <cellStyle name="s_Georgia (2)_Comparativo VP TEC 2008 v1_So 2008" xfId="8019"/>
    <cellStyle name="s_Georgia (2)_Comparativo VP TEC 2008_Luiz Sergio" xfId="8020"/>
    <cellStyle name="s_Georgia (2)_Cópia de Modelo - Fluxo de Caixa Orcamento 09052009_V36_3" xfId="3388"/>
    <cellStyle name="s_Georgia (2)_Fluxo de Caixa Orcamento FINAL_13052009" xfId="3389"/>
    <cellStyle name="s_Georgia (2)_FM_dummyV4" xfId="3390"/>
    <cellStyle name="s_Georgia (2)_lalur" xfId="3391"/>
    <cellStyle name="s_Georgia (2)_Leasing_V3" xfId="3392"/>
    <cellStyle name="s_Georgia (2)_MODELO PDP III" xfId="3393"/>
    <cellStyle name="s_Georgia (2)_ORÇ_2009" xfId="3394"/>
    <cellStyle name="s_Georgia (2)_Pasta2" xfId="3395"/>
    <cellStyle name="s_Hard Rock" xfId="3396"/>
    <cellStyle name="s_Hard Rock (2)" xfId="3397"/>
    <cellStyle name="s_Hard Rock (2)_1" xfId="3398"/>
    <cellStyle name="s_Hard Rock (2)_1_Comparativo VP FIN v1_So 2008" xfId="8021"/>
    <cellStyle name="s_Hard Rock (2)_1_Comparativo VP MKT 2008 v1_So 2008" xfId="8022"/>
    <cellStyle name="s_Hard Rock (2)_1_Comparativo VP TEC 2008 v1_So 2008" xfId="8023"/>
    <cellStyle name="s_Hard Rock (2)_1_Comparativo VP TEC 2008_Luiz Sergio" xfId="8024"/>
    <cellStyle name="s_Hard Rock (2)_1_Cópia de Modelo - Fluxo de Caixa Orcamento 09052009_V36_3" xfId="3399"/>
    <cellStyle name="s_Hard Rock (2)_1_Fluxo de Caixa Orcamento FINAL_13052009" xfId="3400"/>
    <cellStyle name="s_Hard Rock (2)_1_FM_dummyV4" xfId="3401"/>
    <cellStyle name="s_Hard Rock (2)_1_lalur" xfId="3402"/>
    <cellStyle name="s_Hard Rock (2)_1_Leasing_V3" xfId="3403"/>
    <cellStyle name="s_Hard Rock (2)_1_MODELO PDP III" xfId="3404"/>
    <cellStyle name="s_Hard Rock (2)_1_ORÇ_2009" xfId="3405"/>
    <cellStyle name="s_Hard Rock (2)_1_Pasta2" xfId="3406"/>
    <cellStyle name="s_Hard Rock (2)_Celtic DCF" xfId="3407"/>
    <cellStyle name="s_Hard Rock (2)_Celtic DCF Inputs" xfId="3408"/>
    <cellStyle name="s_Hard Rock (2)_Celtic DCF Inputs_Comparativo VP FIN v1_So 2008" xfId="8025"/>
    <cellStyle name="s_Hard Rock (2)_Celtic DCF Inputs_Comparativo VP MKT 2008 v1_So 2008" xfId="8026"/>
    <cellStyle name="s_Hard Rock (2)_Celtic DCF Inputs_Comparativo VP TEC 2008 v1_So 2008" xfId="8027"/>
    <cellStyle name="s_Hard Rock (2)_Celtic DCF Inputs_Comparativo VP TEC 2008_Luiz Sergio" xfId="8028"/>
    <cellStyle name="s_Hard Rock (2)_Celtic DCF Inputs_Cópia de Modelo - Fluxo de Caixa Orcamento 09052009_V36_3" xfId="3409"/>
    <cellStyle name="s_Hard Rock (2)_Celtic DCF Inputs_Fluxo de Caixa Orcamento FINAL_13052009" xfId="3410"/>
    <cellStyle name="s_Hard Rock (2)_Celtic DCF Inputs_FM_dummyV4" xfId="3411"/>
    <cellStyle name="s_Hard Rock (2)_Celtic DCF Inputs_lalur" xfId="3412"/>
    <cellStyle name="s_Hard Rock (2)_Celtic DCF Inputs_Leasing_V3" xfId="3413"/>
    <cellStyle name="s_Hard Rock (2)_Celtic DCF Inputs_MODELO PDP III" xfId="3414"/>
    <cellStyle name="s_Hard Rock (2)_Celtic DCF Inputs_ORÇ_2009" xfId="3415"/>
    <cellStyle name="s_Hard Rock (2)_Celtic DCF Inputs_Pasta2" xfId="3416"/>
    <cellStyle name="s_Hard Rock (2)_Celtic DCF_Comparativo VP FIN v1_So 2008" xfId="8029"/>
    <cellStyle name="s_Hard Rock (2)_Celtic DCF_Comparativo VP MKT 2008 v1_So 2008" xfId="8030"/>
    <cellStyle name="s_Hard Rock (2)_Celtic DCF_Comparativo VP TEC 2008 v1_So 2008" xfId="8031"/>
    <cellStyle name="s_Hard Rock (2)_Celtic DCF_Comparativo VP TEC 2008_Luiz Sergio" xfId="8032"/>
    <cellStyle name="s_Hard Rock (2)_Celtic DCF_Cópia de Modelo - Fluxo de Caixa Orcamento 09052009_V36_3" xfId="3417"/>
    <cellStyle name="s_Hard Rock (2)_Celtic DCF_Fluxo de Caixa Orcamento FINAL_13052009" xfId="3418"/>
    <cellStyle name="s_Hard Rock (2)_Celtic DCF_FM_dummyV4" xfId="3419"/>
    <cellStyle name="s_Hard Rock (2)_Celtic DCF_lalur" xfId="3420"/>
    <cellStyle name="s_Hard Rock (2)_Celtic DCF_Leasing_V3" xfId="3421"/>
    <cellStyle name="s_Hard Rock (2)_Celtic DCF_MODELO PDP III" xfId="3422"/>
    <cellStyle name="s_Hard Rock (2)_Celtic DCF_ORÇ_2009" xfId="3423"/>
    <cellStyle name="s_Hard Rock (2)_Celtic DCF_Pasta2" xfId="3424"/>
    <cellStyle name="s_Hard Rock (2)_Comparativo VP FIN v1_So 2008" xfId="8033"/>
    <cellStyle name="s_Hard Rock (2)_Comparativo VP MKT 2008 v1_So 2008" xfId="8034"/>
    <cellStyle name="s_Hard Rock (2)_Comparativo VP TEC 2008 v1_So 2008" xfId="8035"/>
    <cellStyle name="s_Hard Rock (2)_Comparativo VP TEC 2008_Luiz Sergio" xfId="8036"/>
    <cellStyle name="s_Hard Rock (2)_Cópia de Modelo - Fluxo de Caixa Orcamento 09052009_V36_3" xfId="3425"/>
    <cellStyle name="s_Hard Rock (2)_Fluxo de Caixa Orcamento FINAL_13052009" xfId="3426"/>
    <cellStyle name="s_Hard Rock (2)_FM_dummyV4" xfId="3427"/>
    <cellStyle name="s_Hard Rock (2)_lalur" xfId="3428"/>
    <cellStyle name="s_Hard Rock (2)_Leasing_V3" xfId="3429"/>
    <cellStyle name="s_Hard Rock (2)_MODELO PDP III" xfId="3430"/>
    <cellStyle name="s_Hard Rock (2)_ORÇ_2009" xfId="3431"/>
    <cellStyle name="s_Hard Rock (2)_Pasta2" xfId="3432"/>
    <cellStyle name="s_Hard Rock (2)_Valuation Summary" xfId="3433"/>
    <cellStyle name="s_Hard Rock (2)_Valuation Summary_Comparativo VP FIN v1_So 2008" xfId="8037"/>
    <cellStyle name="s_Hard Rock (2)_Valuation Summary_Comparativo VP MKT 2008 v1_So 2008" xfId="8038"/>
    <cellStyle name="s_Hard Rock (2)_Valuation Summary_Comparativo VP TEC 2008 v1_So 2008" xfId="8039"/>
    <cellStyle name="s_Hard Rock (2)_Valuation Summary_Comparativo VP TEC 2008_Luiz Sergio" xfId="8040"/>
    <cellStyle name="s_Hard Rock (2)_Valuation Summary_Cópia de Modelo - Fluxo de Caixa Orcamento 09052009_V36_3" xfId="3434"/>
    <cellStyle name="s_Hard Rock (2)_Valuation Summary_Fluxo de Caixa Orcamento FINAL_13052009" xfId="3435"/>
    <cellStyle name="s_Hard Rock (2)_Valuation Summary_FM_dummyV4" xfId="3436"/>
    <cellStyle name="s_Hard Rock (2)_Valuation Summary_lalur" xfId="3437"/>
    <cellStyle name="s_Hard Rock (2)_Valuation Summary_Leasing_V3" xfId="3438"/>
    <cellStyle name="s_Hard Rock (2)_Valuation Summary_MODELO PDP III" xfId="3439"/>
    <cellStyle name="s_Hard Rock (2)_Valuation Summary_ORÇ_2009" xfId="3440"/>
    <cellStyle name="s_Hard Rock (2)_Valuation Summary_Pasta2" xfId="3441"/>
    <cellStyle name="s_Hard Rock_1" xfId="3442"/>
    <cellStyle name="s_Hard Rock_1_Celtic DCF" xfId="3443"/>
    <cellStyle name="s_Hard Rock_1_Celtic DCF Inputs" xfId="3444"/>
    <cellStyle name="s_Hard Rock_1_Celtic DCF Inputs_Comparativo VP FIN v1_So 2008" xfId="8041"/>
    <cellStyle name="s_Hard Rock_1_Celtic DCF Inputs_Comparativo VP MKT 2008 v1_So 2008" xfId="8042"/>
    <cellStyle name="s_Hard Rock_1_Celtic DCF Inputs_Comparativo VP TEC 2008 v1_So 2008" xfId="8043"/>
    <cellStyle name="s_Hard Rock_1_Celtic DCF Inputs_Comparativo VP TEC 2008_Luiz Sergio" xfId="8044"/>
    <cellStyle name="s_Hard Rock_1_Celtic DCF Inputs_Cópia de Modelo - Fluxo de Caixa Orcamento 09052009_V36_3" xfId="3445"/>
    <cellStyle name="s_Hard Rock_1_Celtic DCF Inputs_Fluxo de Caixa Orcamento FINAL_13052009" xfId="3446"/>
    <cellStyle name="s_Hard Rock_1_Celtic DCF Inputs_FM_dummyV4" xfId="3447"/>
    <cellStyle name="s_Hard Rock_1_Celtic DCF Inputs_lalur" xfId="3448"/>
    <cellStyle name="s_Hard Rock_1_Celtic DCF Inputs_Leasing_V3" xfId="3449"/>
    <cellStyle name="s_Hard Rock_1_Celtic DCF Inputs_MODELO PDP III" xfId="3450"/>
    <cellStyle name="s_Hard Rock_1_Celtic DCF Inputs_ORÇ_2009" xfId="3451"/>
    <cellStyle name="s_Hard Rock_1_Celtic DCF Inputs_Pasta2" xfId="3452"/>
    <cellStyle name="s_Hard Rock_1_Celtic DCF_Comparativo VP FIN v1_So 2008" xfId="8045"/>
    <cellStyle name="s_Hard Rock_1_Celtic DCF_Comparativo VP MKT 2008 v1_So 2008" xfId="8046"/>
    <cellStyle name="s_Hard Rock_1_Celtic DCF_Comparativo VP TEC 2008 v1_So 2008" xfId="8047"/>
    <cellStyle name="s_Hard Rock_1_Celtic DCF_Comparativo VP TEC 2008_Luiz Sergio" xfId="8048"/>
    <cellStyle name="s_Hard Rock_1_Celtic DCF_Cópia de Modelo - Fluxo de Caixa Orcamento 09052009_V36_3" xfId="3453"/>
    <cellStyle name="s_Hard Rock_1_Celtic DCF_Fluxo de Caixa Orcamento FINAL_13052009" xfId="3454"/>
    <cellStyle name="s_Hard Rock_1_Celtic DCF_FM_dummyV4" xfId="3455"/>
    <cellStyle name="s_Hard Rock_1_Celtic DCF_lalur" xfId="3456"/>
    <cellStyle name="s_Hard Rock_1_Celtic DCF_Leasing_V3" xfId="3457"/>
    <cellStyle name="s_Hard Rock_1_Celtic DCF_MODELO PDP III" xfId="3458"/>
    <cellStyle name="s_Hard Rock_1_Celtic DCF_ORÇ_2009" xfId="3459"/>
    <cellStyle name="s_Hard Rock_1_Celtic DCF_Pasta2" xfId="3460"/>
    <cellStyle name="s_Hard Rock_1_Comparativo VP FIN v1_So 2008" xfId="8049"/>
    <cellStyle name="s_Hard Rock_1_Comparativo VP MKT 2008 v1_So 2008" xfId="8050"/>
    <cellStyle name="s_Hard Rock_1_Comparativo VP TEC 2008 v1_So 2008" xfId="8051"/>
    <cellStyle name="s_Hard Rock_1_Comparativo VP TEC 2008_Luiz Sergio" xfId="8052"/>
    <cellStyle name="s_Hard Rock_1_Cópia de Modelo - Fluxo de Caixa Orcamento 09052009_V36_3" xfId="3461"/>
    <cellStyle name="s_Hard Rock_1_Fluxo de Caixa Orcamento FINAL_13052009" xfId="3462"/>
    <cellStyle name="s_Hard Rock_1_FM_dummyV4" xfId="3463"/>
    <cellStyle name="s_Hard Rock_1_lalur" xfId="3464"/>
    <cellStyle name="s_Hard Rock_1_Leasing_V3" xfId="3465"/>
    <cellStyle name="s_Hard Rock_1_MODELO PDP III" xfId="3466"/>
    <cellStyle name="s_Hard Rock_1_ORÇ_2009" xfId="3467"/>
    <cellStyle name="s_Hard Rock_1_Pasta2" xfId="3468"/>
    <cellStyle name="s_Hard Rock_1_Valuation Summary" xfId="3469"/>
    <cellStyle name="s_Hard Rock_1_Valuation Summary_Comparativo VP FIN v1_So 2008" xfId="8053"/>
    <cellStyle name="s_Hard Rock_1_Valuation Summary_Comparativo VP MKT 2008 v1_So 2008" xfId="8054"/>
    <cellStyle name="s_Hard Rock_1_Valuation Summary_Comparativo VP TEC 2008 v1_So 2008" xfId="8055"/>
    <cellStyle name="s_Hard Rock_1_Valuation Summary_Comparativo VP TEC 2008_Luiz Sergio" xfId="8056"/>
    <cellStyle name="s_Hard Rock_1_Valuation Summary_Cópia de Modelo - Fluxo de Caixa Orcamento 09052009_V36_3" xfId="3470"/>
    <cellStyle name="s_Hard Rock_1_Valuation Summary_Fluxo de Caixa Orcamento FINAL_13052009" xfId="3471"/>
    <cellStyle name="s_Hard Rock_1_Valuation Summary_FM_dummyV4" xfId="3472"/>
    <cellStyle name="s_Hard Rock_1_Valuation Summary_lalur" xfId="3473"/>
    <cellStyle name="s_Hard Rock_1_Valuation Summary_Leasing_V3" xfId="3474"/>
    <cellStyle name="s_Hard Rock_1_Valuation Summary_MODELO PDP III" xfId="3475"/>
    <cellStyle name="s_Hard Rock_1_Valuation Summary_ORÇ_2009" xfId="3476"/>
    <cellStyle name="s_Hard Rock_1_Valuation Summary_Pasta2" xfId="3477"/>
    <cellStyle name="s_Hard Rock_2" xfId="3478"/>
    <cellStyle name="s_Hard Rock_2_Comparativo VP FIN v1_So 2008" xfId="8057"/>
    <cellStyle name="s_Hard Rock_2_Comparativo VP MKT 2008 v1_So 2008" xfId="8058"/>
    <cellStyle name="s_Hard Rock_2_Comparativo VP TEC 2008 v1_So 2008" xfId="8059"/>
    <cellStyle name="s_Hard Rock_2_Comparativo VP TEC 2008_Luiz Sergio" xfId="8060"/>
    <cellStyle name="s_Hard Rock_2_Cópia de Modelo - Fluxo de Caixa Orcamento 09052009_V36_3" xfId="3479"/>
    <cellStyle name="s_Hard Rock_2_Fluxo de Caixa Orcamento FINAL_13052009" xfId="3480"/>
    <cellStyle name="s_Hard Rock_2_FM_dummyV4" xfId="3481"/>
    <cellStyle name="s_Hard Rock_2_lalur" xfId="3482"/>
    <cellStyle name="s_Hard Rock_2_Leasing_V3" xfId="3483"/>
    <cellStyle name="s_Hard Rock_2_MODELO PDP III" xfId="3484"/>
    <cellStyle name="s_Hard Rock_2_ORÇ_2009" xfId="3485"/>
    <cellStyle name="s_Hard Rock_2_Pasta2" xfId="3486"/>
    <cellStyle name="s_Hard Rock_Comparativo VP FIN v1_So 2008" xfId="8061"/>
    <cellStyle name="s_Hard Rock_Comparativo VP MKT 2008 v1_So 2008" xfId="8062"/>
    <cellStyle name="s_Hard Rock_Comparativo VP TEC 2008 v1_So 2008" xfId="8063"/>
    <cellStyle name="s_Hard Rock_Comparativo VP TEC 2008_Luiz Sergio" xfId="8064"/>
    <cellStyle name="s_Hard Rock_Cópia de Modelo - Fluxo de Caixa Orcamento 09052009_V36_3" xfId="3487"/>
    <cellStyle name="s_Hard Rock_Fluxo de Caixa Orcamento FINAL_13052009" xfId="3488"/>
    <cellStyle name="s_Hard Rock_FM_dummyV4" xfId="3489"/>
    <cellStyle name="s_Hard Rock_lalur" xfId="3490"/>
    <cellStyle name="s_Hard Rock_Leasing_V3" xfId="3491"/>
    <cellStyle name="s_Hard Rock_MODELO PDP III" xfId="3492"/>
    <cellStyle name="s_Hard Rock_ORÇ_2009" xfId="3493"/>
    <cellStyle name="s_Hard Rock_Pasta2" xfId="3494"/>
    <cellStyle name="s_HardInc " xfId="3495"/>
    <cellStyle name="s_HardInc  (2)" xfId="3496"/>
    <cellStyle name="s_HardInc  (2)_1" xfId="3497"/>
    <cellStyle name="s_HardInc  (2)_1_Comparativo VP FIN v1_So 2008" xfId="8065"/>
    <cellStyle name="s_HardInc  (2)_1_Comparativo VP MKT 2008 v1_So 2008" xfId="8066"/>
    <cellStyle name="s_HardInc  (2)_1_Comparativo VP TEC 2008 v1_So 2008" xfId="8067"/>
    <cellStyle name="s_HardInc  (2)_1_Comparativo VP TEC 2008_Luiz Sergio" xfId="8068"/>
    <cellStyle name="s_HardInc  (2)_1_Cópia de Modelo - Fluxo de Caixa Orcamento 09052009_V36_3" xfId="3498"/>
    <cellStyle name="s_HardInc  (2)_1_Fluxo de Caixa Orcamento FINAL_13052009" xfId="3499"/>
    <cellStyle name="s_HardInc  (2)_1_FM_dummyV4" xfId="3500"/>
    <cellStyle name="s_HardInc  (2)_1_lalur" xfId="3501"/>
    <cellStyle name="s_HardInc  (2)_1_Leasing_V3" xfId="3502"/>
    <cellStyle name="s_HardInc  (2)_1_MODELO PDP III" xfId="3503"/>
    <cellStyle name="s_HardInc  (2)_1_ORÇ_2009" xfId="3504"/>
    <cellStyle name="s_HardInc  (2)_1_Pasta2" xfId="3505"/>
    <cellStyle name="s_HardInc  (2)_2" xfId="3506"/>
    <cellStyle name="s_HardInc  (2)_2_Comparativo VP FIN v1_So 2008" xfId="8069"/>
    <cellStyle name="s_HardInc  (2)_2_Comparativo VP MKT 2008 v1_So 2008" xfId="8070"/>
    <cellStyle name="s_HardInc  (2)_2_Comparativo VP TEC 2008 v1_So 2008" xfId="8071"/>
    <cellStyle name="s_HardInc  (2)_2_Comparativo VP TEC 2008_Luiz Sergio" xfId="8072"/>
    <cellStyle name="s_HardInc  (2)_2_Cópia de Modelo - Fluxo de Caixa Orcamento 09052009_V36_3" xfId="3507"/>
    <cellStyle name="s_HardInc  (2)_2_Fluxo de Caixa Orcamento FINAL_13052009" xfId="3508"/>
    <cellStyle name="s_HardInc  (2)_2_FM_dummyV4" xfId="3509"/>
    <cellStyle name="s_HardInc  (2)_2_lalur" xfId="3510"/>
    <cellStyle name="s_HardInc  (2)_2_Leasing_V3" xfId="3511"/>
    <cellStyle name="s_HardInc  (2)_2_MODELO PDP III" xfId="3512"/>
    <cellStyle name="s_HardInc  (2)_2_ORÇ_2009" xfId="3513"/>
    <cellStyle name="s_HardInc  (2)_2_Pasta2" xfId="3514"/>
    <cellStyle name="s_HardInc  (2)_Celtic DCF" xfId="3515"/>
    <cellStyle name="s_HardInc  (2)_Celtic DCF Inputs" xfId="3516"/>
    <cellStyle name="s_HardInc  (2)_Celtic DCF Inputs_Comparativo VP FIN v1_So 2008" xfId="8073"/>
    <cellStyle name="s_HardInc  (2)_Celtic DCF Inputs_Comparativo VP MKT 2008 v1_So 2008" xfId="8074"/>
    <cellStyle name="s_HardInc  (2)_Celtic DCF Inputs_Comparativo VP TEC 2008 v1_So 2008" xfId="8075"/>
    <cellStyle name="s_HardInc  (2)_Celtic DCF Inputs_Comparativo VP TEC 2008_Luiz Sergio" xfId="8076"/>
    <cellStyle name="s_HardInc  (2)_Celtic DCF Inputs_Cópia de Modelo - Fluxo de Caixa Orcamento 09052009_V36_3" xfId="3517"/>
    <cellStyle name="s_HardInc  (2)_Celtic DCF Inputs_Fluxo de Caixa Orcamento FINAL_13052009" xfId="3518"/>
    <cellStyle name="s_HardInc  (2)_Celtic DCF Inputs_FM_dummyV4" xfId="3519"/>
    <cellStyle name="s_HardInc  (2)_Celtic DCF Inputs_lalur" xfId="3520"/>
    <cellStyle name="s_HardInc  (2)_Celtic DCF Inputs_Leasing_V3" xfId="3521"/>
    <cellStyle name="s_HardInc  (2)_Celtic DCF Inputs_MODELO PDP III" xfId="3522"/>
    <cellStyle name="s_HardInc  (2)_Celtic DCF Inputs_ORÇ_2009" xfId="3523"/>
    <cellStyle name="s_HardInc  (2)_Celtic DCF Inputs_Pasta2" xfId="3524"/>
    <cellStyle name="s_HardInc  (2)_Celtic DCF_Comparativo VP FIN v1_So 2008" xfId="8077"/>
    <cellStyle name="s_HardInc  (2)_Celtic DCF_Comparativo VP MKT 2008 v1_So 2008" xfId="8078"/>
    <cellStyle name="s_HardInc  (2)_Celtic DCF_Comparativo VP TEC 2008 v1_So 2008" xfId="8079"/>
    <cellStyle name="s_HardInc  (2)_Celtic DCF_Comparativo VP TEC 2008_Luiz Sergio" xfId="8080"/>
    <cellStyle name="s_HardInc  (2)_Celtic DCF_Cópia de Modelo - Fluxo de Caixa Orcamento 09052009_V36_3" xfId="3525"/>
    <cellStyle name="s_HardInc  (2)_Celtic DCF_Fluxo de Caixa Orcamento FINAL_13052009" xfId="3526"/>
    <cellStyle name="s_HardInc  (2)_Celtic DCF_FM_dummyV4" xfId="3527"/>
    <cellStyle name="s_HardInc  (2)_Celtic DCF_lalur" xfId="3528"/>
    <cellStyle name="s_HardInc  (2)_Celtic DCF_Leasing_V3" xfId="3529"/>
    <cellStyle name="s_HardInc  (2)_Celtic DCF_MODELO PDP III" xfId="3530"/>
    <cellStyle name="s_HardInc  (2)_Celtic DCF_ORÇ_2009" xfId="3531"/>
    <cellStyle name="s_HardInc  (2)_Celtic DCF_Pasta2" xfId="3532"/>
    <cellStyle name="s_HardInc  (2)_Comparativo VP FIN v1_So 2008" xfId="8081"/>
    <cellStyle name="s_HardInc  (2)_Comparativo VP MKT 2008 v1_So 2008" xfId="8082"/>
    <cellStyle name="s_HardInc  (2)_Comparativo VP TEC 2008 v1_So 2008" xfId="8083"/>
    <cellStyle name="s_HardInc  (2)_Comparativo VP TEC 2008_Luiz Sergio" xfId="8084"/>
    <cellStyle name="s_HardInc  (2)_Cópia de Modelo - Fluxo de Caixa Orcamento 09052009_V36_3" xfId="3533"/>
    <cellStyle name="s_HardInc  (2)_Fluxo de Caixa Orcamento FINAL_13052009" xfId="3534"/>
    <cellStyle name="s_HardInc  (2)_FM_dummyV4" xfId="3535"/>
    <cellStyle name="s_HardInc  (2)_lalur" xfId="3536"/>
    <cellStyle name="s_HardInc  (2)_Leasing_V3" xfId="3537"/>
    <cellStyle name="s_HardInc  (2)_MODELO PDP III" xfId="3538"/>
    <cellStyle name="s_HardInc  (2)_ORÇ_2009" xfId="3539"/>
    <cellStyle name="s_HardInc  (2)_Pasta2" xfId="3540"/>
    <cellStyle name="s_HardInc  (2)_Valuation Summary" xfId="3541"/>
    <cellStyle name="s_HardInc  (2)_Valuation Summary_Comparativo VP FIN v1_So 2008" xfId="8085"/>
    <cellStyle name="s_HardInc  (2)_Valuation Summary_Comparativo VP MKT 2008 v1_So 2008" xfId="8086"/>
    <cellStyle name="s_HardInc  (2)_Valuation Summary_Comparativo VP TEC 2008 v1_So 2008" xfId="8087"/>
    <cellStyle name="s_HardInc  (2)_Valuation Summary_Comparativo VP TEC 2008_Luiz Sergio" xfId="8088"/>
    <cellStyle name="s_HardInc  (2)_Valuation Summary_Cópia de Modelo - Fluxo de Caixa Orcamento 09052009_V36_3" xfId="3542"/>
    <cellStyle name="s_HardInc  (2)_Valuation Summary_Fluxo de Caixa Orcamento FINAL_13052009" xfId="3543"/>
    <cellStyle name="s_HardInc  (2)_Valuation Summary_FM_dummyV4" xfId="3544"/>
    <cellStyle name="s_HardInc  (2)_Valuation Summary_lalur" xfId="3545"/>
    <cellStyle name="s_HardInc  (2)_Valuation Summary_Leasing_V3" xfId="3546"/>
    <cellStyle name="s_HardInc  (2)_Valuation Summary_MODELO PDP III" xfId="3547"/>
    <cellStyle name="s_HardInc  (2)_Valuation Summary_ORÇ_2009" xfId="3548"/>
    <cellStyle name="s_HardInc  (2)_Valuation Summary_Pasta2" xfId="3549"/>
    <cellStyle name="s_HardInc _Celtic DCF" xfId="3550"/>
    <cellStyle name="s_HardInc _Celtic DCF Inputs" xfId="3551"/>
    <cellStyle name="s_HardInc _Celtic DCF Inputs_Comparativo VP FIN v1_So 2008" xfId="8089"/>
    <cellStyle name="s_HardInc _Celtic DCF Inputs_Comparativo VP MKT 2008 v1_So 2008" xfId="8090"/>
    <cellStyle name="s_HardInc _Celtic DCF Inputs_Comparativo VP TEC 2008 v1_So 2008" xfId="8091"/>
    <cellStyle name="s_HardInc _Celtic DCF Inputs_Comparativo VP TEC 2008_Luiz Sergio" xfId="8092"/>
    <cellStyle name="s_HardInc _Celtic DCF Inputs_Cópia de Modelo - Fluxo de Caixa Orcamento 09052009_V36_3" xfId="3552"/>
    <cellStyle name="s_HardInc _Celtic DCF Inputs_Fluxo de Caixa Orcamento FINAL_13052009" xfId="3553"/>
    <cellStyle name="s_HardInc _Celtic DCF Inputs_FM_dummyV4" xfId="3554"/>
    <cellStyle name="s_HardInc _Celtic DCF Inputs_lalur" xfId="3555"/>
    <cellStyle name="s_HardInc _Celtic DCF Inputs_Leasing_V3" xfId="3556"/>
    <cellStyle name="s_HardInc _Celtic DCF Inputs_MODELO PDP III" xfId="3557"/>
    <cellStyle name="s_HardInc _Celtic DCF Inputs_ORÇ_2009" xfId="3558"/>
    <cellStyle name="s_HardInc _Celtic DCF Inputs_Pasta2" xfId="3559"/>
    <cellStyle name="s_HardInc _Celtic DCF_Comparativo VP FIN v1_So 2008" xfId="8093"/>
    <cellStyle name="s_HardInc _Celtic DCF_Comparativo VP MKT 2008 v1_So 2008" xfId="8094"/>
    <cellStyle name="s_HardInc _Celtic DCF_Comparativo VP TEC 2008 v1_So 2008" xfId="8095"/>
    <cellStyle name="s_HardInc _Celtic DCF_Comparativo VP TEC 2008_Luiz Sergio" xfId="8096"/>
    <cellStyle name="s_HardInc _Celtic DCF_Cópia de Modelo - Fluxo de Caixa Orcamento 09052009_V36_3" xfId="3560"/>
    <cellStyle name="s_HardInc _Celtic DCF_Fluxo de Caixa Orcamento FINAL_13052009" xfId="3561"/>
    <cellStyle name="s_HardInc _Celtic DCF_FM_dummyV4" xfId="3562"/>
    <cellStyle name="s_HardInc _Celtic DCF_lalur" xfId="3563"/>
    <cellStyle name="s_HardInc _Celtic DCF_Leasing_V3" xfId="3564"/>
    <cellStyle name="s_HardInc _Celtic DCF_MODELO PDP III" xfId="3565"/>
    <cellStyle name="s_HardInc _Celtic DCF_ORÇ_2009" xfId="3566"/>
    <cellStyle name="s_HardInc _Celtic DCF_Pasta2" xfId="3567"/>
    <cellStyle name="s_HardInc _Comparativo VP FIN v1_So 2008" xfId="8097"/>
    <cellStyle name="s_HardInc _Comparativo VP MKT 2008 v1_So 2008" xfId="8098"/>
    <cellStyle name="s_HardInc _Comparativo VP TEC 2008 v1_So 2008" xfId="8099"/>
    <cellStyle name="s_HardInc _Comparativo VP TEC 2008_Luiz Sergio" xfId="8100"/>
    <cellStyle name="s_HardInc _Cópia de Modelo - Fluxo de Caixa Orcamento 09052009_V36_3" xfId="3568"/>
    <cellStyle name="s_HardInc _Fluxo de Caixa Orcamento FINAL_13052009" xfId="3569"/>
    <cellStyle name="s_HardInc _FM_dummyV4" xfId="3570"/>
    <cellStyle name="s_HardInc _lalur" xfId="3571"/>
    <cellStyle name="s_HardInc _Leasing_V3" xfId="3572"/>
    <cellStyle name="s_HardInc _MODELO PDP III" xfId="3573"/>
    <cellStyle name="s_HardInc _ORÇ_2009" xfId="3574"/>
    <cellStyle name="s_HardInc _Pasta2" xfId="3575"/>
    <cellStyle name="s_HardInc _Valuation Summary" xfId="3576"/>
    <cellStyle name="s_HardInc _Valuation Summary_Comparativo VP FIN v1_So 2008" xfId="8101"/>
    <cellStyle name="s_HardInc _Valuation Summary_Comparativo VP MKT 2008 v1_So 2008" xfId="8102"/>
    <cellStyle name="s_HardInc _Valuation Summary_Comparativo VP TEC 2008 v1_So 2008" xfId="8103"/>
    <cellStyle name="s_HardInc _Valuation Summary_Comparativo VP TEC 2008_Luiz Sergio" xfId="8104"/>
    <cellStyle name="s_HardInc _Valuation Summary_Cópia de Modelo - Fluxo de Caixa Orcamento 09052009_V36_3" xfId="3577"/>
    <cellStyle name="s_HardInc _Valuation Summary_Fluxo de Caixa Orcamento FINAL_13052009" xfId="3578"/>
    <cellStyle name="s_HardInc _Valuation Summary_FM_dummyV4" xfId="3579"/>
    <cellStyle name="s_HardInc _Valuation Summary_lalur" xfId="3580"/>
    <cellStyle name="s_HardInc _Valuation Summary_Leasing_V3" xfId="3581"/>
    <cellStyle name="s_HardInc _Valuation Summary_MODELO PDP III" xfId="3582"/>
    <cellStyle name="s_HardInc _Valuation Summary_ORÇ_2009" xfId="3583"/>
    <cellStyle name="s_HardInc _Valuation Summary_Pasta2" xfId="3584"/>
    <cellStyle name="s_Has-Gets (2)" xfId="3585"/>
    <cellStyle name="s_Has-Gets (2)_1" xfId="3586"/>
    <cellStyle name="s_Has-Gets (2)_1_Comparativo VP FIN v1_So 2008" xfId="8105"/>
    <cellStyle name="s_Has-Gets (2)_1_Comparativo VP MKT 2008 v1_So 2008" xfId="8106"/>
    <cellStyle name="s_Has-Gets (2)_1_Comparativo VP TEC 2008 v1_So 2008" xfId="8107"/>
    <cellStyle name="s_Has-Gets (2)_1_Comparativo VP TEC 2008_Luiz Sergio" xfId="8108"/>
    <cellStyle name="s_Has-Gets (2)_1_Cópia de Modelo - Fluxo de Caixa Orcamento 09052009_V36_3" xfId="3587"/>
    <cellStyle name="s_Has-Gets (2)_1_Fluxo de Caixa Orcamento FINAL_13052009" xfId="3588"/>
    <cellStyle name="s_Has-Gets (2)_1_FM_dummyV4" xfId="3589"/>
    <cellStyle name="s_Has-Gets (2)_1_lalur" xfId="3590"/>
    <cellStyle name="s_Has-Gets (2)_1_Leasing_V3" xfId="3591"/>
    <cellStyle name="s_Has-Gets (2)_1_MODELO PDP III" xfId="3592"/>
    <cellStyle name="s_Has-Gets (2)_1_ORÇ_2009" xfId="3593"/>
    <cellStyle name="s_Has-Gets (2)_1_Pasta2" xfId="3594"/>
    <cellStyle name="s_Has-Gets (2)_Comparativo VP FIN v1_So 2008" xfId="8109"/>
    <cellStyle name="s_Has-Gets (2)_Comparativo VP MKT 2008 v1_So 2008" xfId="8110"/>
    <cellStyle name="s_Has-Gets (2)_Comparativo VP TEC 2008 v1_So 2008" xfId="8111"/>
    <cellStyle name="s_Has-Gets (2)_Comparativo VP TEC 2008_Luiz Sergio" xfId="8112"/>
    <cellStyle name="s_Has-Gets (2)_Cópia de Modelo - Fluxo de Caixa Orcamento 09052009_V36_3" xfId="3595"/>
    <cellStyle name="s_Has-Gets (2)_Fluxo de Caixa Orcamento FINAL_13052009" xfId="3596"/>
    <cellStyle name="s_Has-Gets (2)_FM_dummyV4" xfId="3597"/>
    <cellStyle name="s_Has-Gets (2)_lalur" xfId="3598"/>
    <cellStyle name="s_Has-Gets (2)_Leasing_V3" xfId="3599"/>
    <cellStyle name="s_Has-Gets (2)_MODELO PDP III" xfId="3600"/>
    <cellStyle name="s_Has-Gets (2)_ORÇ_2009" xfId="3601"/>
    <cellStyle name="s_Has-Gets (2)_Pasta2" xfId="3602"/>
    <cellStyle name="s_Hist Graph" xfId="3603"/>
    <cellStyle name="s_Hist Graph_1" xfId="3604"/>
    <cellStyle name="s_Hist Graph_1_Comparativo VP FIN v1_So 2008" xfId="8113"/>
    <cellStyle name="s_Hist Graph_1_Comparativo VP MKT 2008 v1_So 2008" xfId="8114"/>
    <cellStyle name="s_Hist Graph_1_Comparativo VP TEC 2008 v1_So 2008" xfId="8115"/>
    <cellStyle name="s_Hist Graph_1_Comparativo VP TEC 2008_Luiz Sergio" xfId="8116"/>
    <cellStyle name="s_Hist Graph_1_Cópia de Modelo - Fluxo de Caixa Orcamento 09052009_V36_3" xfId="3605"/>
    <cellStyle name="s_Hist Graph_1_Fluxo de Caixa Orcamento FINAL_13052009" xfId="3606"/>
    <cellStyle name="s_Hist Graph_1_FM_dummyV4" xfId="3607"/>
    <cellStyle name="s_Hist Graph_1_lalur" xfId="3608"/>
    <cellStyle name="s_Hist Graph_1_Leasing_V3" xfId="3609"/>
    <cellStyle name="s_Hist Graph_1_MODELO PDP III" xfId="3610"/>
    <cellStyle name="s_Hist Graph_1_ORÇ_2009" xfId="3611"/>
    <cellStyle name="s_Hist Graph_1_Pasta2" xfId="3612"/>
    <cellStyle name="s_Hist Graph_2" xfId="3613"/>
    <cellStyle name="s_Hist Graph_2_Comparativo VP FIN v1_So 2008" xfId="8117"/>
    <cellStyle name="s_Hist Graph_2_Comparativo VP MKT 2008 v1_So 2008" xfId="8118"/>
    <cellStyle name="s_Hist Graph_2_Comparativo VP TEC 2008 v1_So 2008" xfId="8119"/>
    <cellStyle name="s_Hist Graph_2_Comparativo VP TEC 2008_Luiz Sergio" xfId="8120"/>
    <cellStyle name="s_Hist Graph_2_Cópia de Modelo - Fluxo de Caixa Orcamento 09052009_V36_3" xfId="3614"/>
    <cellStyle name="s_Hist Graph_2_Fluxo de Caixa Orcamento FINAL_13052009" xfId="3615"/>
    <cellStyle name="s_Hist Graph_2_FM_dummyV4" xfId="3616"/>
    <cellStyle name="s_Hist Graph_2_lalur" xfId="3617"/>
    <cellStyle name="s_Hist Graph_2_Leasing_V3" xfId="3618"/>
    <cellStyle name="s_Hist Graph_2_MODELO PDP III" xfId="3619"/>
    <cellStyle name="s_Hist Graph_2_ORÇ_2009" xfId="3620"/>
    <cellStyle name="s_Hist Graph_2_Pasta2" xfId="3621"/>
    <cellStyle name="s_Hist Graph_Comparativo VP FIN v1_So 2008" xfId="8121"/>
    <cellStyle name="s_Hist Graph_Comparativo VP MKT 2008 v1_So 2008" xfId="8122"/>
    <cellStyle name="s_Hist Graph_Comparativo VP TEC 2008 v1_So 2008" xfId="8123"/>
    <cellStyle name="s_Hist Graph_Comparativo VP TEC 2008_Luiz Sergio" xfId="8124"/>
    <cellStyle name="s_Hist Graph_Cópia de Modelo - Fluxo de Caixa Orcamento 09052009_V36_3" xfId="3622"/>
    <cellStyle name="s_Hist Graph_Fluxo de Caixa Orcamento FINAL_13052009" xfId="3623"/>
    <cellStyle name="s_Hist Graph_FM_dummyV4" xfId="3624"/>
    <cellStyle name="s_Hist Graph_lalur" xfId="3625"/>
    <cellStyle name="s_Hist Graph_Leasing_V3" xfId="3626"/>
    <cellStyle name="s_Hist Graph_MODELO PDP III" xfId="3627"/>
    <cellStyle name="s_Hist Graph_ORÇ_2009" xfId="3628"/>
    <cellStyle name="s_Hist Graph_Pasta2" xfId="3629"/>
    <cellStyle name="s_Hist Inputs" xfId="3630"/>
    <cellStyle name="s_Hist Inputs (2)" xfId="3631"/>
    <cellStyle name="s_Hist Inputs (2)_1" xfId="3632"/>
    <cellStyle name="s_Hist Inputs (2)_1_Comparativo VP FIN v1_So 2008" xfId="8125"/>
    <cellStyle name="s_Hist Inputs (2)_1_Comparativo VP MKT 2008 v1_So 2008" xfId="8126"/>
    <cellStyle name="s_Hist Inputs (2)_1_Comparativo VP TEC 2008 v1_So 2008" xfId="8127"/>
    <cellStyle name="s_Hist Inputs (2)_1_Comparativo VP TEC 2008_Luiz Sergio" xfId="8128"/>
    <cellStyle name="s_Hist Inputs (2)_1_Cópia de Modelo - Fluxo de Caixa Orcamento 09052009_V36_3" xfId="3633"/>
    <cellStyle name="s_Hist Inputs (2)_1_Fluxo de Caixa Orcamento FINAL_13052009" xfId="3634"/>
    <cellStyle name="s_Hist Inputs (2)_1_FM_dummyV4" xfId="3635"/>
    <cellStyle name="s_Hist Inputs (2)_1_lalur" xfId="3636"/>
    <cellStyle name="s_Hist Inputs (2)_1_Leasing_V3" xfId="3637"/>
    <cellStyle name="s_Hist Inputs (2)_1_MODELO PDP III" xfId="3638"/>
    <cellStyle name="s_Hist Inputs (2)_1_ORÇ_2009" xfId="3639"/>
    <cellStyle name="s_Hist Inputs (2)_1_Pasta2" xfId="3640"/>
    <cellStyle name="s_Hist Inputs (2)_Comparativo VP FIN v1_So 2008" xfId="8129"/>
    <cellStyle name="s_Hist Inputs (2)_Comparativo VP MKT 2008 v1_So 2008" xfId="8130"/>
    <cellStyle name="s_Hist Inputs (2)_Comparativo VP TEC 2008 v1_So 2008" xfId="8131"/>
    <cellStyle name="s_Hist Inputs (2)_Comparativo VP TEC 2008_Luiz Sergio" xfId="8132"/>
    <cellStyle name="s_Hist Inputs (2)_Cópia de Modelo - Fluxo de Caixa Orcamento 09052009_V36_3" xfId="3641"/>
    <cellStyle name="s_Hist Inputs (2)_Fluxo de Caixa Orcamento FINAL_13052009" xfId="3642"/>
    <cellStyle name="s_Hist Inputs (2)_FM_dummyV4" xfId="3643"/>
    <cellStyle name="s_Hist Inputs (2)_lalur" xfId="3644"/>
    <cellStyle name="s_Hist Inputs (2)_Leasing_V3" xfId="3645"/>
    <cellStyle name="s_Hist Inputs (2)_MODELO PDP III" xfId="3646"/>
    <cellStyle name="s_Hist Inputs (2)_ORÇ_2009" xfId="3647"/>
    <cellStyle name="s_Hist Inputs (2)_Pasta2" xfId="3648"/>
    <cellStyle name="s_Hist Inputs_1" xfId="3649"/>
    <cellStyle name="s_Hist Inputs_1_AM0909" xfId="3650"/>
    <cellStyle name="s_Hist Inputs_1_AM0909_Comparativo VP FIN v1_So 2008" xfId="8133"/>
    <cellStyle name="s_Hist Inputs_1_AM0909_Comparativo VP MKT 2008 v1_So 2008" xfId="8134"/>
    <cellStyle name="s_Hist Inputs_1_AM0909_Comparativo VP TEC 2008 v1_So 2008" xfId="8135"/>
    <cellStyle name="s_Hist Inputs_1_AM0909_Comparativo VP TEC 2008_Luiz Sergio" xfId="8136"/>
    <cellStyle name="s_Hist Inputs_1_AM0909_Cópia de Modelo - Fluxo de Caixa Orcamento 09052009_V36_3" xfId="3651"/>
    <cellStyle name="s_Hist Inputs_1_AM0909_Fluxo de Caixa Orcamento FINAL_13052009" xfId="3652"/>
    <cellStyle name="s_Hist Inputs_1_AM0909_FM_dummyV4" xfId="3653"/>
    <cellStyle name="s_Hist Inputs_1_AM0909_lalur" xfId="3654"/>
    <cellStyle name="s_Hist Inputs_1_AM0909_Leasing_V3" xfId="3655"/>
    <cellStyle name="s_Hist Inputs_1_AM0909_MODELO PDP III" xfId="3656"/>
    <cellStyle name="s_Hist Inputs_1_AM0909_ORÇ_2009" xfId="3657"/>
    <cellStyle name="s_Hist Inputs_1_AM0909_Pasta2" xfId="3658"/>
    <cellStyle name="s_Hist Inputs_1_Brenner" xfId="3659"/>
    <cellStyle name="s_Hist Inputs_1_Brenner_Comparativo VP FIN v1_So 2008" xfId="8137"/>
    <cellStyle name="s_Hist Inputs_1_Brenner_Comparativo VP MKT 2008 v1_So 2008" xfId="8138"/>
    <cellStyle name="s_Hist Inputs_1_Brenner_Comparativo VP TEC 2008 v1_So 2008" xfId="8139"/>
    <cellStyle name="s_Hist Inputs_1_Brenner_Comparativo VP TEC 2008_Luiz Sergio" xfId="8140"/>
    <cellStyle name="s_Hist Inputs_1_Brenner_Cópia de Modelo - Fluxo de Caixa Orcamento 09052009_V36_3" xfId="3660"/>
    <cellStyle name="s_Hist Inputs_1_Brenner_Fluxo de Caixa Orcamento FINAL_13052009" xfId="3661"/>
    <cellStyle name="s_Hist Inputs_1_Brenner_FM_dummyV4" xfId="3662"/>
    <cellStyle name="s_Hist Inputs_1_Brenner_lalur" xfId="3663"/>
    <cellStyle name="s_Hist Inputs_1_Brenner_Leasing_V3" xfId="3664"/>
    <cellStyle name="s_Hist Inputs_1_Brenner_MODELO PDP III" xfId="3665"/>
    <cellStyle name="s_Hist Inputs_1_Brenner_ORÇ_2009" xfId="3666"/>
    <cellStyle name="s_Hist Inputs_1_Brenner_Pasta2" xfId="3667"/>
    <cellStyle name="s_Hist Inputs_1_Comparativo VP FIN v1_So 2008" xfId="8141"/>
    <cellStyle name="s_Hist Inputs_1_Comparativo VP MKT 2008 v1_So 2008" xfId="8142"/>
    <cellStyle name="s_Hist Inputs_1_Comparativo VP TEC 2008 v1_So 2008" xfId="8143"/>
    <cellStyle name="s_Hist Inputs_1_Comparativo VP TEC 2008_Luiz Sergio" xfId="8144"/>
    <cellStyle name="s_Hist Inputs_1_Cópia de Modelo - Fluxo de Caixa Orcamento 09052009_V36_3" xfId="3668"/>
    <cellStyle name="s_Hist Inputs_1_Fluxo de Caixa Orcamento FINAL_13052009" xfId="3669"/>
    <cellStyle name="s_Hist Inputs_1_FM_dummyV4" xfId="3670"/>
    <cellStyle name="s_Hist Inputs_1_lalur" xfId="3671"/>
    <cellStyle name="s_Hist Inputs_1_Leasing_V3" xfId="3672"/>
    <cellStyle name="s_Hist Inputs_1_MODELO PDP III" xfId="3673"/>
    <cellStyle name="s_Hist Inputs_1_ORÇ_2009" xfId="3674"/>
    <cellStyle name="s_Hist Inputs_1_Pasta2" xfId="3675"/>
    <cellStyle name="s_Hist Inputs_2" xfId="3676"/>
    <cellStyle name="s_Hist Inputs_2_Comparativo VP FIN v1_So 2008" xfId="8145"/>
    <cellStyle name="s_Hist Inputs_2_Comparativo VP MKT 2008 v1_So 2008" xfId="8146"/>
    <cellStyle name="s_Hist Inputs_2_Comparativo VP TEC 2008 v1_So 2008" xfId="8147"/>
    <cellStyle name="s_Hist Inputs_2_Comparativo VP TEC 2008_Luiz Sergio" xfId="8148"/>
    <cellStyle name="s_Hist Inputs_2_Cópia de Modelo - Fluxo de Caixa Orcamento 09052009_V36_3" xfId="3677"/>
    <cellStyle name="s_Hist Inputs_2_Fluxo de Caixa Orcamento FINAL_13052009" xfId="3678"/>
    <cellStyle name="s_Hist Inputs_2_FM_dummyV4" xfId="3679"/>
    <cellStyle name="s_Hist Inputs_2_lalur" xfId="3680"/>
    <cellStyle name="s_Hist Inputs_2_Leasing_V3" xfId="3681"/>
    <cellStyle name="s_Hist Inputs_2_MODELO PDP III" xfId="3682"/>
    <cellStyle name="s_Hist Inputs_2_ORÇ_2009" xfId="3683"/>
    <cellStyle name="s_Hist Inputs_2_Pasta2" xfId="3684"/>
    <cellStyle name="s_Hist Inputs_AM0909" xfId="3685"/>
    <cellStyle name="s_Hist Inputs_AM0909_Comparativo VP FIN v1_So 2008" xfId="8149"/>
    <cellStyle name="s_Hist Inputs_AM0909_Comparativo VP MKT 2008 v1_So 2008" xfId="8150"/>
    <cellStyle name="s_Hist Inputs_AM0909_Comparativo VP TEC 2008 v1_So 2008" xfId="8151"/>
    <cellStyle name="s_Hist Inputs_AM0909_Comparativo VP TEC 2008_Luiz Sergio" xfId="8152"/>
    <cellStyle name="s_Hist Inputs_AM0909_Cópia de Modelo - Fluxo de Caixa Orcamento 09052009_V36_3" xfId="3686"/>
    <cellStyle name="s_Hist Inputs_AM0909_Fluxo de Caixa Orcamento FINAL_13052009" xfId="3687"/>
    <cellStyle name="s_Hist Inputs_AM0909_FM_dummyV4" xfId="3688"/>
    <cellStyle name="s_Hist Inputs_AM0909_lalur" xfId="3689"/>
    <cellStyle name="s_Hist Inputs_AM0909_Leasing_V3" xfId="3690"/>
    <cellStyle name="s_Hist Inputs_AM0909_MODELO PDP III" xfId="3691"/>
    <cellStyle name="s_Hist Inputs_AM0909_ORÇ_2009" xfId="3692"/>
    <cellStyle name="s_Hist Inputs_AM0909_Pasta2" xfId="3693"/>
    <cellStyle name="s_Hist Inputs_Brenner" xfId="3694"/>
    <cellStyle name="s_Hist Inputs_Brenner_Comparativo VP FIN v1_So 2008" xfId="8153"/>
    <cellStyle name="s_Hist Inputs_Brenner_Comparativo VP MKT 2008 v1_So 2008" xfId="8154"/>
    <cellStyle name="s_Hist Inputs_Brenner_Comparativo VP TEC 2008 v1_So 2008" xfId="8155"/>
    <cellStyle name="s_Hist Inputs_Brenner_Comparativo VP TEC 2008_Luiz Sergio" xfId="8156"/>
    <cellStyle name="s_Hist Inputs_Brenner_Cópia de Modelo - Fluxo de Caixa Orcamento 09052009_V36_3" xfId="3695"/>
    <cellStyle name="s_Hist Inputs_Brenner_Fluxo de Caixa Orcamento FINAL_13052009" xfId="3696"/>
    <cellStyle name="s_Hist Inputs_Brenner_FM_dummyV4" xfId="3697"/>
    <cellStyle name="s_Hist Inputs_Brenner_lalur" xfId="3698"/>
    <cellStyle name="s_Hist Inputs_Brenner_Leasing_V3" xfId="3699"/>
    <cellStyle name="s_Hist Inputs_Brenner_MODELO PDP III" xfId="3700"/>
    <cellStyle name="s_Hist Inputs_Brenner_ORÇ_2009" xfId="3701"/>
    <cellStyle name="s_Hist Inputs_Brenner_Pasta2" xfId="3702"/>
    <cellStyle name="s_Hist Inputs_Comparativo VP FIN v1_So 2008" xfId="8157"/>
    <cellStyle name="s_Hist Inputs_Comparativo VP MKT 2008 v1_So 2008" xfId="8158"/>
    <cellStyle name="s_Hist Inputs_Comparativo VP TEC 2008 v1_So 2008" xfId="8159"/>
    <cellStyle name="s_Hist Inputs_Comparativo VP TEC 2008_Luiz Sergio" xfId="8160"/>
    <cellStyle name="s_Hist Inputs_Cópia de Modelo - Fluxo de Caixa Orcamento 09052009_V36_3" xfId="3703"/>
    <cellStyle name="s_Hist Inputs_Fluxo de Caixa Orcamento FINAL_13052009" xfId="3704"/>
    <cellStyle name="s_Hist Inputs_FM_dummyV4" xfId="3705"/>
    <cellStyle name="s_Hist Inputs_lalur" xfId="3706"/>
    <cellStyle name="s_Hist Inputs_Leasing_V3" xfId="3707"/>
    <cellStyle name="s_Hist Inputs_MODELO PDP III" xfId="3708"/>
    <cellStyle name="s_Hist Inputs_ORÇ_2009" xfId="3709"/>
    <cellStyle name="s_Hist Inputs_Pasta2" xfId="3710"/>
    <cellStyle name="s_IPO" xfId="3711"/>
    <cellStyle name="s_IPO_Comparativo VP FIN v1_So 2008" xfId="8161"/>
    <cellStyle name="s_IPO_Comparativo VP MKT 2008 v1_So 2008" xfId="8162"/>
    <cellStyle name="s_IPO_Comparativo VP TEC 2008 v1_So 2008" xfId="8163"/>
    <cellStyle name="s_IPO_Comparativo VP TEC 2008_Luiz Sergio" xfId="8164"/>
    <cellStyle name="s_IPO_Cópia de Modelo - Fluxo de Caixa Orcamento 09052009_V36_3" xfId="3712"/>
    <cellStyle name="s_IPO_Fluxo de Caixa Orcamento FINAL_13052009" xfId="3713"/>
    <cellStyle name="s_IPO_FM_dummyV4" xfId="3714"/>
    <cellStyle name="s_IPO_lalur" xfId="3715"/>
    <cellStyle name="s_IPO_Leasing_V3" xfId="3716"/>
    <cellStyle name="s_IPO_MODELO PDP III" xfId="3717"/>
    <cellStyle name="s_IPO_ORÇ_2009" xfId="3718"/>
    <cellStyle name="s_IPO_Pasta2" xfId="3719"/>
    <cellStyle name="s_IRR Sensitivity (2)" xfId="3720"/>
    <cellStyle name="s_IRR Sensitivity (2)_1" xfId="3721"/>
    <cellStyle name="s_IRR Sensitivity (2)_1_Comparativo VP FIN v1_So 2008" xfId="8165"/>
    <cellStyle name="s_IRR Sensitivity (2)_1_Comparativo VP MKT 2008 v1_So 2008" xfId="8166"/>
    <cellStyle name="s_IRR Sensitivity (2)_1_Comparativo VP TEC 2008 v1_So 2008" xfId="8167"/>
    <cellStyle name="s_IRR Sensitivity (2)_1_Comparativo VP TEC 2008_Luiz Sergio" xfId="8168"/>
    <cellStyle name="s_IRR Sensitivity (2)_1_Cópia de Modelo - Fluxo de Caixa Orcamento 09052009_V36_3" xfId="3722"/>
    <cellStyle name="s_IRR Sensitivity (2)_1_Fluxo de Caixa Orcamento FINAL_13052009" xfId="3723"/>
    <cellStyle name="s_IRR Sensitivity (2)_1_FM_dummyV4" xfId="3724"/>
    <cellStyle name="s_IRR Sensitivity (2)_1_lalur" xfId="3725"/>
    <cellStyle name="s_IRR Sensitivity (2)_1_Leasing_V3" xfId="3726"/>
    <cellStyle name="s_IRR Sensitivity (2)_1_MODELO PDP III" xfId="3727"/>
    <cellStyle name="s_IRR Sensitivity (2)_1_ORÇ_2009" xfId="3728"/>
    <cellStyle name="s_IRR Sensitivity (2)_1_Pasta2" xfId="3729"/>
    <cellStyle name="s_IRR Sensitivity (2)_2" xfId="3730"/>
    <cellStyle name="s_IRR Sensitivity (2)_2_Comparativo VP FIN v1_So 2008" xfId="8169"/>
    <cellStyle name="s_IRR Sensitivity (2)_2_Comparativo VP MKT 2008 v1_So 2008" xfId="8170"/>
    <cellStyle name="s_IRR Sensitivity (2)_2_Comparativo VP TEC 2008 v1_So 2008" xfId="8171"/>
    <cellStyle name="s_IRR Sensitivity (2)_2_Comparativo VP TEC 2008_Luiz Sergio" xfId="8172"/>
    <cellStyle name="s_IRR Sensitivity (2)_2_Cópia de Modelo - Fluxo de Caixa Orcamento 09052009_V36_3" xfId="3731"/>
    <cellStyle name="s_IRR Sensitivity (2)_2_Fluxo de Caixa Orcamento FINAL_13052009" xfId="3732"/>
    <cellStyle name="s_IRR Sensitivity (2)_2_FM_dummyV4" xfId="3733"/>
    <cellStyle name="s_IRR Sensitivity (2)_2_lalur" xfId="3734"/>
    <cellStyle name="s_IRR Sensitivity (2)_2_Leasing_V3" xfId="3735"/>
    <cellStyle name="s_IRR Sensitivity (2)_2_MODELO PDP III" xfId="3736"/>
    <cellStyle name="s_IRR Sensitivity (2)_2_ORÇ_2009" xfId="3737"/>
    <cellStyle name="s_IRR Sensitivity (2)_2_Pasta2" xfId="3738"/>
    <cellStyle name="s_IRR Sensitivity (2)_Comparativo VP FIN v1_So 2008" xfId="8173"/>
    <cellStyle name="s_IRR Sensitivity (2)_Comparativo VP MKT 2008 v1_So 2008" xfId="8174"/>
    <cellStyle name="s_IRR Sensitivity (2)_Comparativo VP TEC 2008 v1_So 2008" xfId="8175"/>
    <cellStyle name="s_IRR Sensitivity (2)_Comparativo VP TEC 2008_Luiz Sergio" xfId="8176"/>
    <cellStyle name="s_IRR Sensitivity (2)_Cópia de Modelo - Fluxo de Caixa Orcamento 09052009_V36_3" xfId="3739"/>
    <cellStyle name="s_IRR Sensitivity (2)_Fluxo de Caixa Orcamento FINAL_13052009" xfId="3740"/>
    <cellStyle name="s_IRR Sensitivity (2)_FM_dummyV4" xfId="3741"/>
    <cellStyle name="s_IRR Sensitivity (2)_lalur" xfId="3742"/>
    <cellStyle name="s_IRR Sensitivity (2)_Leasing_V3" xfId="3743"/>
    <cellStyle name="s_IRR Sensitivity (2)_MODELO PDP III" xfId="3744"/>
    <cellStyle name="s_IRR Sensitivity (2)_ORÇ_2009" xfId="3745"/>
    <cellStyle name="s_IRR Sensitivity (2)_Pasta2" xfId="3746"/>
    <cellStyle name="s_lalur" xfId="3747"/>
    <cellStyle name="s_LambSum_link_a" xfId="3748"/>
    <cellStyle name="s_LambSum_link_a_Comparativo VP FIN v1_So 2008" xfId="8177"/>
    <cellStyle name="s_LambSum_link_a_Comparativo VP MKT 2008 v1_So 2008" xfId="8178"/>
    <cellStyle name="s_LambSum_link_a_Comparativo VP TEC 2008 v1_So 2008" xfId="8179"/>
    <cellStyle name="s_LambSum_link_a_Comparativo VP TEC 2008_Luiz Sergio" xfId="8180"/>
    <cellStyle name="s_LambSum_link_a_Cópia de Modelo - Fluxo de Caixa Orcamento 09052009_V36_3" xfId="3749"/>
    <cellStyle name="s_LambSum_link_a_Fluxo de Caixa Orcamento FINAL_13052009" xfId="3750"/>
    <cellStyle name="s_LambSum_link_a_FM_dummyV4" xfId="3751"/>
    <cellStyle name="s_LambSum_link_a_lalur" xfId="3752"/>
    <cellStyle name="s_LambSum_link_a_Leasing_V3" xfId="3753"/>
    <cellStyle name="s_LambSum_link_a_MODELO PDP III" xfId="3754"/>
    <cellStyle name="s_LambSum_link_a_ORÇ_2009" xfId="3755"/>
    <cellStyle name="s_LambSum_link_a_Pasta2" xfId="3756"/>
    <cellStyle name="s_LBO" xfId="3757"/>
    <cellStyle name="s_LBO IRR" xfId="3758"/>
    <cellStyle name="s_LBO IRR_1" xfId="3759"/>
    <cellStyle name="s_LBO IRR_1_Comparativo VP FIN v1_So 2008" xfId="8181"/>
    <cellStyle name="s_LBO IRR_1_Comparativo VP MKT 2008 v1_So 2008" xfId="8182"/>
    <cellStyle name="s_LBO IRR_1_Comparativo VP TEC 2008 v1_So 2008" xfId="8183"/>
    <cellStyle name="s_LBO IRR_1_Comparativo VP TEC 2008_Luiz Sergio" xfId="8184"/>
    <cellStyle name="s_LBO IRR_1_Cópia de Modelo - Fluxo de Caixa Orcamento 09052009_V36_3" xfId="3760"/>
    <cellStyle name="s_LBO IRR_1_Fluxo de Caixa Orcamento FINAL_13052009" xfId="3761"/>
    <cellStyle name="s_LBO IRR_1_FM_dummyV4" xfId="3762"/>
    <cellStyle name="s_LBO IRR_1_lalur" xfId="3763"/>
    <cellStyle name="s_LBO IRR_1_Leasing_V3" xfId="3764"/>
    <cellStyle name="s_LBO IRR_1_MODELO PDP III" xfId="3765"/>
    <cellStyle name="s_LBO IRR_1_ORÇ_2009" xfId="3766"/>
    <cellStyle name="s_LBO IRR_1_Pasta2" xfId="3767"/>
    <cellStyle name="s_LBO IRR_2" xfId="3768"/>
    <cellStyle name="s_LBO IRR_2_Comparativo VP FIN v1_So 2008" xfId="8185"/>
    <cellStyle name="s_LBO IRR_2_Comparativo VP MKT 2008 v1_So 2008" xfId="8186"/>
    <cellStyle name="s_LBO IRR_2_Comparativo VP TEC 2008 v1_So 2008" xfId="8187"/>
    <cellStyle name="s_LBO IRR_2_Comparativo VP TEC 2008_Luiz Sergio" xfId="8188"/>
    <cellStyle name="s_LBO IRR_2_Cópia de Modelo - Fluxo de Caixa Orcamento 09052009_V36_3" xfId="3769"/>
    <cellStyle name="s_LBO IRR_2_Fluxo de Caixa Orcamento FINAL_13052009" xfId="3770"/>
    <cellStyle name="s_LBO IRR_2_FM_dummyV4" xfId="3771"/>
    <cellStyle name="s_LBO IRR_2_lalur" xfId="3772"/>
    <cellStyle name="s_LBO IRR_2_Leasing_V3" xfId="3773"/>
    <cellStyle name="s_LBO IRR_2_MODELO PDP III" xfId="3774"/>
    <cellStyle name="s_LBO IRR_2_ORÇ_2009" xfId="3775"/>
    <cellStyle name="s_LBO IRR_2_Pasta2" xfId="3776"/>
    <cellStyle name="s_LBO IRR_Comparativo VP FIN v1_So 2008" xfId="8189"/>
    <cellStyle name="s_LBO IRR_Comparativo VP MKT 2008 v1_So 2008" xfId="8190"/>
    <cellStyle name="s_LBO IRR_Comparativo VP TEC 2008 v1_So 2008" xfId="8191"/>
    <cellStyle name="s_LBO IRR_Comparativo VP TEC 2008_Luiz Sergio" xfId="8192"/>
    <cellStyle name="s_LBO IRR_Cópia de Modelo - Fluxo de Caixa Orcamento 09052009_V36_3" xfId="3777"/>
    <cellStyle name="s_LBO IRR_Fluxo de Caixa Orcamento FINAL_13052009" xfId="3778"/>
    <cellStyle name="s_LBO IRR_FM_dummyV4" xfId="3779"/>
    <cellStyle name="s_LBO IRR_lalur" xfId="3780"/>
    <cellStyle name="s_LBO IRR_Leasing_V3" xfId="3781"/>
    <cellStyle name="s_LBO IRR_MODELO PDP III" xfId="3782"/>
    <cellStyle name="s_LBO IRR_ORÇ_2009" xfId="3783"/>
    <cellStyle name="s_LBO IRR_Pasta2" xfId="3784"/>
    <cellStyle name="s_LBO Sens" xfId="3785"/>
    <cellStyle name="s_LBO Sens_1" xfId="3786"/>
    <cellStyle name="s_LBO Sens_1_Comparativo VP FIN v1_So 2008" xfId="8193"/>
    <cellStyle name="s_LBO Sens_1_Comparativo VP MKT 2008 v1_So 2008" xfId="8194"/>
    <cellStyle name="s_LBO Sens_1_Comparativo VP TEC 2008 v1_So 2008" xfId="8195"/>
    <cellStyle name="s_LBO Sens_1_Comparativo VP TEC 2008_Luiz Sergio" xfId="8196"/>
    <cellStyle name="s_LBO Sens_1_Cópia de Modelo - Fluxo de Caixa Orcamento 09052009_V36_3" xfId="3787"/>
    <cellStyle name="s_LBO Sens_1_Fluxo de Caixa Orcamento FINAL_13052009" xfId="3788"/>
    <cellStyle name="s_LBO Sens_1_FM_dummyV4" xfId="3789"/>
    <cellStyle name="s_LBO Sens_1_lalur" xfId="3790"/>
    <cellStyle name="s_LBO Sens_1_Leasing_V3" xfId="3791"/>
    <cellStyle name="s_LBO Sens_1_MODELO PDP III" xfId="3792"/>
    <cellStyle name="s_LBO Sens_1_ORÇ_2009" xfId="3793"/>
    <cellStyle name="s_LBO Sens_1_Pasta2" xfId="3794"/>
    <cellStyle name="s_LBO Sens_2" xfId="3795"/>
    <cellStyle name="s_LBO Sens_2_Comparativo VP FIN v1_So 2008" xfId="8197"/>
    <cellStyle name="s_LBO Sens_2_Comparativo VP MKT 2008 v1_So 2008" xfId="8198"/>
    <cellStyle name="s_LBO Sens_2_Comparativo VP TEC 2008 v1_So 2008" xfId="8199"/>
    <cellStyle name="s_LBO Sens_2_Comparativo VP TEC 2008_Luiz Sergio" xfId="8200"/>
    <cellStyle name="s_LBO Sens_2_Cópia de Modelo - Fluxo de Caixa Orcamento 09052009_V36_3" xfId="3796"/>
    <cellStyle name="s_LBO Sens_2_Fluxo de Caixa Orcamento FINAL_13052009" xfId="3797"/>
    <cellStyle name="s_LBO Sens_2_FM_dummyV4" xfId="3798"/>
    <cellStyle name="s_LBO Sens_2_lalur" xfId="3799"/>
    <cellStyle name="s_LBO Sens_2_Leasing_V3" xfId="3800"/>
    <cellStyle name="s_LBO Sens_2_MODELO PDP III" xfId="3801"/>
    <cellStyle name="s_LBO Sens_2_ORÇ_2009" xfId="3802"/>
    <cellStyle name="s_LBO Sens_2_Pasta2" xfId="3803"/>
    <cellStyle name="s_LBO Sens_Comparativo VP FIN v1_So 2008" xfId="8201"/>
    <cellStyle name="s_LBO Sens_Comparativo VP MKT 2008 v1_So 2008" xfId="8202"/>
    <cellStyle name="s_LBO Sens_Comparativo VP TEC 2008 v1_So 2008" xfId="8203"/>
    <cellStyle name="s_LBO Sens_Comparativo VP TEC 2008_Luiz Sergio" xfId="8204"/>
    <cellStyle name="s_LBO Sens_Cópia de Modelo - Fluxo de Caixa Orcamento 09052009_V36_3" xfId="3804"/>
    <cellStyle name="s_LBO Sens_Fluxo de Caixa Orcamento FINAL_13052009" xfId="3805"/>
    <cellStyle name="s_LBO Sens_FM_dummyV4" xfId="3806"/>
    <cellStyle name="s_LBO Sens_lalur" xfId="3807"/>
    <cellStyle name="s_LBO Sens_Leasing_V3" xfId="3808"/>
    <cellStyle name="s_LBO Sens_MODELO PDP III" xfId="3809"/>
    <cellStyle name="s_LBO Sens_ORÇ_2009" xfId="3810"/>
    <cellStyle name="s_LBO Sens_Pasta2" xfId="3811"/>
    <cellStyle name="s_LBO Summary" xfId="3812"/>
    <cellStyle name="s_LBO Summary_1" xfId="3813"/>
    <cellStyle name="s_LBO Summary_1_Comparativo VP FIN v1_So 2008" xfId="8205"/>
    <cellStyle name="s_LBO Summary_1_Comparativo VP MKT 2008 v1_So 2008" xfId="8206"/>
    <cellStyle name="s_LBO Summary_1_Comparativo VP TEC 2008 v1_So 2008" xfId="8207"/>
    <cellStyle name="s_LBO Summary_1_Comparativo VP TEC 2008_Luiz Sergio" xfId="8208"/>
    <cellStyle name="s_LBO Summary_1_Cópia de Modelo - Fluxo de Caixa Orcamento 09052009_V36_3" xfId="3814"/>
    <cellStyle name="s_LBO Summary_1_Fluxo de Caixa Orcamento FINAL_13052009" xfId="3815"/>
    <cellStyle name="s_LBO Summary_1_FM_dummyV4" xfId="3816"/>
    <cellStyle name="s_LBO Summary_1_lalur" xfId="3817"/>
    <cellStyle name="s_LBO Summary_1_Leasing_V3" xfId="3818"/>
    <cellStyle name="s_LBO Summary_1_Mary911" xfId="3819"/>
    <cellStyle name="s_LBO Summary_1_Mary911_Comparativo VP FIN v1_So 2008" xfId="8209"/>
    <cellStyle name="s_LBO Summary_1_Mary911_Comparativo VP MKT 2008 v1_So 2008" xfId="8210"/>
    <cellStyle name="s_LBO Summary_1_Mary911_Comparativo VP TEC 2008 v1_So 2008" xfId="8211"/>
    <cellStyle name="s_LBO Summary_1_Mary911_Comparativo VP TEC 2008_Luiz Sergio" xfId="8212"/>
    <cellStyle name="s_LBO Summary_1_Mary911_Cópia de Modelo - Fluxo de Caixa Orcamento 09052009_V36_3" xfId="3820"/>
    <cellStyle name="s_LBO Summary_1_Mary911_Fluxo de Caixa Orcamento FINAL_13052009" xfId="3821"/>
    <cellStyle name="s_LBO Summary_1_Mary911_FM_dummyV4" xfId="3822"/>
    <cellStyle name="s_LBO Summary_1_Mary911_lalur" xfId="3823"/>
    <cellStyle name="s_LBO Summary_1_Mary911_Leasing_V3" xfId="3824"/>
    <cellStyle name="s_LBO Summary_1_Mary911_MODELO PDP III" xfId="3825"/>
    <cellStyle name="s_LBO Summary_1_Mary911_ORÇ_2009" xfId="3826"/>
    <cellStyle name="s_LBO Summary_1_Mary911_Pasta2" xfId="3827"/>
    <cellStyle name="s_LBO Summary_1_MODELO PDP III" xfId="3828"/>
    <cellStyle name="s_LBO Summary_1_mona0915a" xfId="3829"/>
    <cellStyle name="s_LBO Summary_1_mona0915a_Comparativo VP FIN v1_So 2008" xfId="8213"/>
    <cellStyle name="s_LBO Summary_1_mona0915a_Comparativo VP MKT 2008 v1_So 2008" xfId="8214"/>
    <cellStyle name="s_LBO Summary_1_mona0915a_Comparativo VP TEC 2008 v1_So 2008" xfId="8215"/>
    <cellStyle name="s_LBO Summary_1_mona0915a_Comparativo VP TEC 2008_Luiz Sergio" xfId="8216"/>
    <cellStyle name="s_LBO Summary_1_mona0915a_Cópia de Modelo - Fluxo de Caixa Orcamento 09052009_V36_3" xfId="3830"/>
    <cellStyle name="s_LBO Summary_1_mona0915a_Fluxo de Caixa Orcamento FINAL_13052009" xfId="3831"/>
    <cellStyle name="s_LBO Summary_1_mona0915a_FM_dummyV4" xfId="3832"/>
    <cellStyle name="s_LBO Summary_1_mona0915a_lalur" xfId="3833"/>
    <cellStyle name="s_LBO Summary_1_mona0915a_Leasing_V3" xfId="3834"/>
    <cellStyle name="s_LBO Summary_1_mona0915a_MODELO PDP III" xfId="3835"/>
    <cellStyle name="s_LBO Summary_1_mona0915a_ORÇ_2009" xfId="3836"/>
    <cellStyle name="s_LBO Summary_1_mona0915a_Pasta2" xfId="3837"/>
    <cellStyle name="s_LBO Summary_1_mona0915b" xfId="3838"/>
    <cellStyle name="s_LBO Summary_1_mona0915b_Comparativo VP FIN v1_So 2008" xfId="8217"/>
    <cellStyle name="s_LBO Summary_1_mona0915b_Comparativo VP MKT 2008 v1_So 2008" xfId="8218"/>
    <cellStyle name="s_LBO Summary_1_mona0915b_Comparativo VP TEC 2008 v1_So 2008" xfId="8219"/>
    <cellStyle name="s_LBO Summary_1_mona0915b_Comparativo VP TEC 2008_Luiz Sergio" xfId="8220"/>
    <cellStyle name="s_LBO Summary_1_mona0915b_Cópia de Modelo - Fluxo de Caixa Orcamento 09052009_V36_3" xfId="3839"/>
    <cellStyle name="s_LBO Summary_1_mona0915b_Fluxo de Caixa Orcamento FINAL_13052009" xfId="3840"/>
    <cellStyle name="s_LBO Summary_1_mona0915b_FM_dummyV4" xfId="3841"/>
    <cellStyle name="s_LBO Summary_1_mona0915b_lalur" xfId="3842"/>
    <cellStyle name="s_LBO Summary_1_mona0915b_Leasing_V3" xfId="3843"/>
    <cellStyle name="s_LBO Summary_1_mona0915b_MODELO PDP III" xfId="3844"/>
    <cellStyle name="s_LBO Summary_1_mona0915b_ORÇ_2009" xfId="3845"/>
    <cellStyle name="s_LBO Summary_1_mona0915b_Pasta2" xfId="3846"/>
    <cellStyle name="s_LBO Summary_1_ORÇ_2009" xfId="3847"/>
    <cellStyle name="s_LBO Summary_1_Pasta2" xfId="3848"/>
    <cellStyle name="s_LBO Summary_2" xfId="3849"/>
    <cellStyle name="s_LBO Summary_2_AM0909" xfId="3850"/>
    <cellStyle name="s_LBO Summary_2_AM0909_Comparativo VP FIN v1_So 2008" xfId="8221"/>
    <cellStyle name="s_LBO Summary_2_AM0909_Comparativo VP MKT 2008 v1_So 2008" xfId="8222"/>
    <cellStyle name="s_LBO Summary_2_AM0909_Comparativo VP TEC 2008 v1_So 2008" xfId="8223"/>
    <cellStyle name="s_LBO Summary_2_AM0909_Comparativo VP TEC 2008_Luiz Sergio" xfId="8224"/>
    <cellStyle name="s_LBO Summary_2_AM0909_Cópia de Modelo - Fluxo de Caixa Orcamento 09052009_V36_3" xfId="3851"/>
    <cellStyle name="s_LBO Summary_2_AM0909_Fluxo de Caixa Orcamento FINAL_13052009" xfId="3852"/>
    <cellStyle name="s_LBO Summary_2_AM0909_FM_dummyV4" xfId="3853"/>
    <cellStyle name="s_LBO Summary_2_AM0909_lalur" xfId="3854"/>
    <cellStyle name="s_LBO Summary_2_AM0909_Leasing_V3" xfId="3855"/>
    <cellStyle name="s_LBO Summary_2_AM0909_MODELO PDP III" xfId="3856"/>
    <cellStyle name="s_LBO Summary_2_AM0909_ORÇ_2009" xfId="3857"/>
    <cellStyle name="s_LBO Summary_2_AM0909_Pasta2" xfId="3858"/>
    <cellStyle name="s_LBO Summary_2_Brenner" xfId="3859"/>
    <cellStyle name="s_LBO Summary_2_Brenner_Comparativo VP FIN v1_So 2008" xfId="8225"/>
    <cellStyle name="s_LBO Summary_2_Brenner_Comparativo VP MKT 2008 v1_So 2008" xfId="8226"/>
    <cellStyle name="s_LBO Summary_2_Brenner_Comparativo VP TEC 2008 v1_So 2008" xfId="8227"/>
    <cellStyle name="s_LBO Summary_2_Brenner_Comparativo VP TEC 2008_Luiz Sergio" xfId="8228"/>
    <cellStyle name="s_LBO Summary_2_Brenner_Cópia de Modelo - Fluxo de Caixa Orcamento 09052009_V36_3" xfId="3860"/>
    <cellStyle name="s_LBO Summary_2_Brenner_Fluxo de Caixa Orcamento FINAL_13052009" xfId="3861"/>
    <cellStyle name="s_LBO Summary_2_Brenner_FM_dummyV4" xfId="3862"/>
    <cellStyle name="s_LBO Summary_2_Brenner_lalur" xfId="3863"/>
    <cellStyle name="s_LBO Summary_2_Brenner_Leasing_V3" xfId="3864"/>
    <cellStyle name="s_LBO Summary_2_Brenner_MODELO PDP III" xfId="3865"/>
    <cellStyle name="s_LBO Summary_2_Brenner_ORÇ_2009" xfId="3866"/>
    <cellStyle name="s_LBO Summary_2_Brenner_Pasta2" xfId="3867"/>
    <cellStyle name="s_LBO Summary_2_Comparativo VP FIN v1_So 2008" xfId="8229"/>
    <cellStyle name="s_LBO Summary_2_Comparativo VP MKT 2008 v1_So 2008" xfId="8230"/>
    <cellStyle name="s_LBO Summary_2_Comparativo VP TEC 2008 v1_So 2008" xfId="8231"/>
    <cellStyle name="s_LBO Summary_2_Comparativo VP TEC 2008_Luiz Sergio" xfId="8232"/>
    <cellStyle name="s_LBO Summary_2_Cópia de Modelo - Fluxo de Caixa Orcamento 09052009_V36_3" xfId="3868"/>
    <cellStyle name="s_LBO Summary_2_Fluxo de Caixa Orcamento FINAL_13052009" xfId="3869"/>
    <cellStyle name="s_LBO Summary_2_FM_dummyV4" xfId="3870"/>
    <cellStyle name="s_LBO Summary_2_lalur" xfId="3871"/>
    <cellStyle name="s_LBO Summary_2_Leasing_V3" xfId="3872"/>
    <cellStyle name="s_LBO Summary_2_MODELO PDP III" xfId="3873"/>
    <cellStyle name="s_LBO Summary_2_ORÇ_2009" xfId="3874"/>
    <cellStyle name="s_LBO Summary_2_Pasta2" xfId="3875"/>
    <cellStyle name="s_LBO Summary_AM0909" xfId="3876"/>
    <cellStyle name="s_LBO Summary_AM0909_Comparativo VP FIN v1_So 2008" xfId="8233"/>
    <cellStyle name="s_LBO Summary_AM0909_Comparativo VP MKT 2008 v1_So 2008" xfId="8234"/>
    <cellStyle name="s_LBO Summary_AM0909_Comparativo VP TEC 2008 v1_So 2008" xfId="8235"/>
    <cellStyle name="s_LBO Summary_AM0909_Comparativo VP TEC 2008_Luiz Sergio" xfId="8236"/>
    <cellStyle name="s_LBO Summary_AM0909_Cópia de Modelo - Fluxo de Caixa Orcamento 09052009_V36_3" xfId="3877"/>
    <cellStyle name="s_LBO Summary_AM0909_Fluxo de Caixa Orcamento FINAL_13052009" xfId="3878"/>
    <cellStyle name="s_LBO Summary_AM0909_FM_dummyV4" xfId="3879"/>
    <cellStyle name="s_LBO Summary_AM0909_lalur" xfId="3880"/>
    <cellStyle name="s_LBO Summary_AM0909_Leasing_V3" xfId="3881"/>
    <cellStyle name="s_LBO Summary_AM0909_MODELO PDP III" xfId="3882"/>
    <cellStyle name="s_LBO Summary_AM0909_ORÇ_2009" xfId="3883"/>
    <cellStyle name="s_LBO Summary_AM0909_Pasta2" xfId="3884"/>
    <cellStyle name="s_LBO Summary_Brenner" xfId="3885"/>
    <cellStyle name="s_LBO Summary_Brenner_Comparativo VP FIN v1_So 2008" xfId="8237"/>
    <cellStyle name="s_LBO Summary_Brenner_Comparativo VP MKT 2008 v1_So 2008" xfId="8238"/>
    <cellStyle name="s_LBO Summary_Brenner_Comparativo VP TEC 2008 v1_So 2008" xfId="8239"/>
    <cellStyle name="s_LBO Summary_Brenner_Comparativo VP TEC 2008_Luiz Sergio" xfId="8240"/>
    <cellStyle name="s_LBO Summary_Brenner_Cópia de Modelo - Fluxo de Caixa Orcamento 09052009_V36_3" xfId="3886"/>
    <cellStyle name="s_LBO Summary_Brenner_Fluxo de Caixa Orcamento FINAL_13052009" xfId="3887"/>
    <cellStyle name="s_LBO Summary_Brenner_FM_dummyV4" xfId="3888"/>
    <cellStyle name="s_LBO Summary_Brenner_lalur" xfId="3889"/>
    <cellStyle name="s_LBO Summary_Brenner_Leasing_V3" xfId="3890"/>
    <cellStyle name="s_LBO Summary_Brenner_MODELO PDP III" xfId="3891"/>
    <cellStyle name="s_LBO Summary_Brenner_ORÇ_2009" xfId="3892"/>
    <cellStyle name="s_LBO Summary_Brenner_Pasta2" xfId="3893"/>
    <cellStyle name="s_LBO Summary_Comparativo VP FIN v1_So 2008" xfId="8241"/>
    <cellStyle name="s_LBO Summary_Comparativo VP MKT 2008 v1_So 2008" xfId="8242"/>
    <cellStyle name="s_LBO Summary_Comparativo VP TEC 2008 v1_So 2008" xfId="8243"/>
    <cellStyle name="s_LBO Summary_Comparativo VP TEC 2008_Luiz Sergio" xfId="8244"/>
    <cellStyle name="s_LBO Summary_Cópia de Modelo - Fluxo de Caixa Orcamento 09052009_V36_3" xfId="3894"/>
    <cellStyle name="s_LBO Summary_Fluxo de Caixa Orcamento FINAL_13052009" xfId="3895"/>
    <cellStyle name="s_LBO Summary_FM_dummyV4" xfId="3896"/>
    <cellStyle name="s_LBO Summary_lalur" xfId="3897"/>
    <cellStyle name="s_LBO Summary_Leasing_V3" xfId="3898"/>
    <cellStyle name="s_LBO Summary_Mary911" xfId="3899"/>
    <cellStyle name="s_LBO Summary_Mary911_Comparativo VP FIN v1_So 2008" xfId="8245"/>
    <cellStyle name="s_LBO Summary_Mary911_Comparativo VP MKT 2008 v1_So 2008" xfId="8246"/>
    <cellStyle name="s_LBO Summary_Mary911_Comparativo VP TEC 2008 v1_So 2008" xfId="8247"/>
    <cellStyle name="s_LBO Summary_Mary911_Comparativo VP TEC 2008_Luiz Sergio" xfId="8248"/>
    <cellStyle name="s_LBO Summary_Mary911_Cópia de Modelo - Fluxo de Caixa Orcamento 09052009_V36_3" xfId="3900"/>
    <cellStyle name="s_LBO Summary_Mary911_Fluxo de Caixa Orcamento FINAL_13052009" xfId="3901"/>
    <cellStyle name="s_LBO Summary_Mary911_FM_dummyV4" xfId="3902"/>
    <cellStyle name="s_LBO Summary_Mary911_lalur" xfId="3903"/>
    <cellStyle name="s_LBO Summary_Mary911_Leasing_V3" xfId="3904"/>
    <cellStyle name="s_LBO Summary_Mary911_MODELO PDP III" xfId="3905"/>
    <cellStyle name="s_LBO Summary_Mary911_ORÇ_2009" xfId="3906"/>
    <cellStyle name="s_LBO Summary_Mary911_Pasta2" xfId="3907"/>
    <cellStyle name="s_LBO Summary_MODELO PDP III" xfId="3908"/>
    <cellStyle name="s_LBO Summary_mona0915a" xfId="3909"/>
    <cellStyle name="s_LBO Summary_mona0915a_Comparativo VP FIN v1_So 2008" xfId="8249"/>
    <cellStyle name="s_LBO Summary_mona0915a_Comparativo VP MKT 2008 v1_So 2008" xfId="8250"/>
    <cellStyle name="s_LBO Summary_mona0915a_Comparativo VP TEC 2008 v1_So 2008" xfId="8251"/>
    <cellStyle name="s_LBO Summary_mona0915a_Comparativo VP TEC 2008_Luiz Sergio" xfId="8252"/>
    <cellStyle name="s_LBO Summary_mona0915a_Cópia de Modelo - Fluxo de Caixa Orcamento 09052009_V36_3" xfId="3910"/>
    <cellStyle name="s_LBO Summary_mona0915a_Fluxo de Caixa Orcamento FINAL_13052009" xfId="3911"/>
    <cellStyle name="s_LBO Summary_mona0915a_FM_dummyV4" xfId="3912"/>
    <cellStyle name="s_LBO Summary_mona0915a_lalur" xfId="3913"/>
    <cellStyle name="s_LBO Summary_mona0915a_Leasing_V3" xfId="3914"/>
    <cellStyle name="s_LBO Summary_mona0915a_MODELO PDP III" xfId="3915"/>
    <cellStyle name="s_LBO Summary_mona0915a_ORÇ_2009" xfId="3916"/>
    <cellStyle name="s_LBO Summary_mona0915a_Pasta2" xfId="3917"/>
    <cellStyle name="s_LBO Summary_mona0915b" xfId="3918"/>
    <cellStyle name="s_LBO Summary_mona0915b_Comparativo VP FIN v1_So 2008" xfId="8253"/>
    <cellStyle name="s_LBO Summary_mona0915b_Comparativo VP MKT 2008 v1_So 2008" xfId="8254"/>
    <cellStyle name="s_LBO Summary_mona0915b_Comparativo VP TEC 2008 v1_So 2008" xfId="8255"/>
    <cellStyle name="s_LBO Summary_mona0915b_Comparativo VP TEC 2008_Luiz Sergio" xfId="8256"/>
    <cellStyle name="s_LBO Summary_mona0915b_Cópia de Modelo - Fluxo de Caixa Orcamento 09052009_V36_3" xfId="3919"/>
    <cellStyle name="s_LBO Summary_mona0915b_Fluxo de Caixa Orcamento FINAL_13052009" xfId="3920"/>
    <cellStyle name="s_LBO Summary_mona0915b_FM_dummyV4" xfId="3921"/>
    <cellStyle name="s_LBO Summary_mona0915b_lalur" xfId="3922"/>
    <cellStyle name="s_LBO Summary_mona0915b_Leasing_V3" xfId="3923"/>
    <cellStyle name="s_LBO Summary_mona0915b_MODELO PDP III" xfId="3924"/>
    <cellStyle name="s_LBO Summary_mona0915b_ORÇ_2009" xfId="3925"/>
    <cellStyle name="s_LBO Summary_mona0915b_Pasta2" xfId="3926"/>
    <cellStyle name="s_LBO Summary_ORÇ_2009" xfId="3927"/>
    <cellStyle name="s_LBO Summary_Pasta2" xfId="3928"/>
    <cellStyle name="s_LBO_1" xfId="3929"/>
    <cellStyle name="s_LBO_1_Comparativo VP FIN v1_So 2008" xfId="8257"/>
    <cellStyle name="s_LBO_1_Comparativo VP MKT 2008 v1_So 2008" xfId="8258"/>
    <cellStyle name="s_LBO_1_Comparativo VP TEC 2008 v1_So 2008" xfId="8259"/>
    <cellStyle name="s_LBO_1_Comparativo VP TEC 2008_Luiz Sergio" xfId="8260"/>
    <cellStyle name="s_LBO_1_Cópia de Modelo - Fluxo de Caixa Orcamento 09052009_V36_3" xfId="3930"/>
    <cellStyle name="s_LBO_1_Fluxo de Caixa Orcamento FINAL_13052009" xfId="3931"/>
    <cellStyle name="s_LBO_1_FM_dummyV4" xfId="3932"/>
    <cellStyle name="s_LBO_1_lalur" xfId="3933"/>
    <cellStyle name="s_LBO_1_Leasing_V3" xfId="3934"/>
    <cellStyle name="s_LBO_1_MODELO PDP III" xfId="3935"/>
    <cellStyle name="s_LBO_1_ORÇ_2009" xfId="3936"/>
    <cellStyle name="s_LBO_1_Pasta2" xfId="3937"/>
    <cellStyle name="s_LBO_2" xfId="3938"/>
    <cellStyle name="s_LBO_2_Comparativo VP FIN v1_So 2008" xfId="8261"/>
    <cellStyle name="s_LBO_2_Comparativo VP MKT 2008 v1_So 2008" xfId="8262"/>
    <cellStyle name="s_LBO_2_Comparativo VP TEC 2008 v1_So 2008" xfId="8263"/>
    <cellStyle name="s_LBO_2_Comparativo VP TEC 2008_Luiz Sergio" xfId="8264"/>
    <cellStyle name="s_LBO_2_Cópia de Modelo - Fluxo de Caixa Orcamento 09052009_V36_3" xfId="3939"/>
    <cellStyle name="s_LBO_2_Fluxo de Caixa Orcamento FINAL_13052009" xfId="3940"/>
    <cellStyle name="s_LBO_2_FM_dummyV4" xfId="3941"/>
    <cellStyle name="s_LBO_2_lalur" xfId="3942"/>
    <cellStyle name="s_LBO_2_Leasing_V3" xfId="3943"/>
    <cellStyle name="s_LBO_2_MODELO PDP III" xfId="3944"/>
    <cellStyle name="s_LBO_2_ORÇ_2009" xfId="3945"/>
    <cellStyle name="s_LBO_2_Pasta2" xfId="3946"/>
    <cellStyle name="s_LBO_Comparativo VP FIN v1_So 2008" xfId="8265"/>
    <cellStyle name="s_LBO_Comparativo VP MKT 2008 v1_So 2008" xfId="8266"/>
    <cellStyle name="s_LBO_Comparativo VP TEC 2008 v1_So 2008" xfId="8267"/>
    <cellStyle name="s_LBO_Comparativo VP TEC 2008_Luiz Sergio" xfId="8268"/>
    <cellStyle name="s_LBO_Cópia de Modelo - Fluxo de Caixa Orcamento 09052009_V36_3" xfId="3947"/>
    <cellStyle name="s_LBO_Fluxo de Caixa Orcamento FINAL_13052009" xfId="3948"/>
    <cellStyle name="s_LBO_FM_dummyV4" xfId="3949"/>
    <cellStyle name="s_LBO_lalur" xfId="3950"/>
    <cellStyle name="s_LBO_Leasing_V3" xfId="3951"/>
    <cellStyle name="s_LBO_MODELO PDP III" xfId="3952"/>
    <cellStyle name="s_LBO_ORÇ_2009" xfId="3953"/>
    <cellStyle name="s_LBO_Pasta2" xfId="3954"/>
    <cellStyle name="s_Leasing_V3" xfId="3955"/>
    <cellStyle name="s_Limites x Garantias" xfId="3956"/>
    <cellStyle name="s_Limites x Garantias_Cópia de Modelo - Fluxo de Caixa Orcamento 09052009_V36_3" xfId="3957"/>
    <cellStyle name="s_Limites x Garantias_Fluxo de Caixa Orcamento FINAL_13052009" xfId="3958"/>
    <cellStyle name="s_Limites x Garantias_Liquidez" xfId="3959"/>
    <cellStyle name="s_Limites x Garantias_Liquidez_Cópia de Modelo - Fluxo de Caixa Orcamento 09052009_V36_3" xfId="3960"/>
    <cellStyle name="s_Limites x Garantias_Liquidez_Fluxo de Caixa Orcamento FINAL_13052009" xfId="3961"/>
    <cellStyle name="s_Limites x Garantias_Liquidez_Pasta2" xfId="3962"/>
    <cellStyle name="s_Limites x Garantias_Pasta2" xfId="3963"/>
    <cellStyle name="s_Limites x Garantias_Statement Sky - Finance" xfId="3964"/>
    <cellStyle name="s_Mango Merger" xfId="3965"/>
    <cellStyle name="s_Mango Merger 3" xfId="3966"/>
    <cellStyle name="s_Mango Merger 3_1" xfId="3967"/>
    <cellStyle name="s_Mango Merger 3_1_Comparativo VP FIN v1_So 2008" xfId="8269"/>
    <cellStyle name="s_Mango Merger 3_1_Comparativo VP MKT 2008 v1_So 2008" xfId="8270"/>
    <cellStyle name="s_Mango Merger 3_1_Comparativo VP TEC 2008 v1_So 2008" xfId="8271"/>
    <cellStyle name="s_Mango Merger 3_1_Comparativo VP TEC 2008_Luiz Sergio" xfId="8272"/>
    <cellStyle name="s_Mango Merger 3_1_Cópia de Modelo - Fluxo de Caixa Orcamento 09052009_V36_3" xfId="3968"/>
    <cellStyle name="s_Mango Merger 3_1_Fluxo de Caixa Orcamento FINAL_13052009" xfId="3969"/>
    <cellStyle name="s_Mango Merger 3_1_FM_dummyV4" xfId="3970"/>
    <cellStyle name="s_Mango Merger 3_1_lalur" xfId="3971"/>
    <cellStyle name="s_Mango Merger 3_1_Leasing_V3" xfId="3972"/>
    <cellStyle name="s_Mango Merger 3_1_MODELO PDP III" xfId="3973"/>
    <cellStyle name="s_Mango Merger 3_1_ORÇ_2009" xfId="3974"/>
    <cellStyle name="s_Mango Merger 3_1_Pasta2" xfId="3975"/>
    <cellStyle name="s_Mango Merger 3_2" xfId="3976"/>
    <cellStyle name="s_Mango Merger 3_2_Comparativo VP FIN v1_So 2008" xfId="8273"/>
    <cellStyle name="s_Mango Merger 3_2_Comparativo VP MKT 2008 v1_So 2008" xfId="8274"/>
    <cellStyle name="s_Mango Merger 3_2_Comparativo VP TEC 2008 v1_So 2008" xfId="8275"/>
    <cellStyle name="s_Mango Merger 3_2_Comparativo VP TEC 2008_Luiz Sergio" xfId="8276"/>
    <cellStyle name="s_Mango Merger 3_2_Cópia de Modelo - Fluxo de Caixa Orcamento 09052009_V36_3" xfId="3977"/>
    <cellStyle name="s_Mango Merger 3_2_Fluxo de Caixa Orcamento FINAL_13052009" xfId="3978"/>
    <cellStyle name="s_Mango Merger 3_2_FM_dummyV4" xfId="3979"/>
    <cellStyle name="s_Mango Merger 3_2_lalur" xfId="3980"/>
    <cellStyle name="s_Mango Merger 3_2_Leasing_V3" xfId="3981"/>
    <cellStyle name="s_Mango Merger 3_2_MODELO PDP III" xfId="3982"/>
    <cellStyle name="s_Mango Merger 3_2_ORÇ_2009" xfId="3983"/>
    <cellStyle name="s_Mango Merger 3_2_Pasta2" xfId="3984"/>
    <cellStyle name="s_Mango Merger 3_Comparativo VP FIN v1_So 2008" xfId="8277"/>
    <cellStyle name="s_Mango Merger 3_Comparativo VP MKT 2008 v1_So 2008" xfId="8278"/>
    <cellStyle name="s_Mango Merger 3_Comparativo VP TEC 2008 v1_So 2008" xfId="8279"/>
    <cellStyle name="s_Mango Merger 3_Comparativo VP TEC 2008_Luiz Sergio" xfId="8280"/>
    <cellStyle name="s_Mango Merger 3_Cópia de Modelo - Fluxo de Caixa Orcamento 09052009_V36_3" xfId="3985"/>
    <cellStyle name="s_Mango Merger 3_Fluxo de Caixa Orcamento FINAL_13052009" xfId="3986"/>
    <cellStyle name="s_Mango Merger 3_FM_dummyV4" xfId="3987"/>
    <cellStyle name="s_Mango Merger 3_lalur" xfId="3988"/>
    <cellStyle name="s_Mango Merger 3_Leasing_V3" xfId="3989"/>
    <cellStyle name="s_Mango Merger 3_MODELO PDP III" xfId="3990"/>
    <cellStyle name="s_Mango Merger 3_ORÇ_2009" xfId="3991"/>
    <cellStyle name="s_Mango Merger 3_Pasta2" xfId="3992"/>
    <cellStyle name="s_Mango Merger_1" xfId="3993"/>
    <cellStyle name="s_Mango Merger_1_Comparativo VP FIN v1_So 2008" xfId="8281"/>
    <cellStyle name="s_Mango Merger_1_Comparativo VP MKT 2008 v1_So 2008" xfId="8282"/>
    <cellStyle name="s_Mango Merger_1_Comparativo VP TEC 2008 v1_So 2008" xfId="8283"/>
    <cellStyle name="s_Mango Merger_1_Comparativo VP TEC 2008_Luiz Sergio" xfId="8284"/>
    <cellStyle name="s_Mango Merger_1_Cópia de Modelo - Fluxo de Caixa Orcamento 09052009_V36_3" xfId="3994"/>
    <cellStyle name="s_Mango Merger_1_Fluxo de Caixa Orcamento FINAL_13052009" xfId="3995"/>
    <cellStyle name="s_Mango Merger_1_FM_dummyV4" xfId="3996"/>
    <cellStyle name="s_Mango Merger_1_lalur" xfId="3997"/>
    <cellStyle name="s_Mango Merger_1_Leasing_V3" xfId="3998"/>
    <cellStyle name="s_Mango Merger_1_MODELO PDP III" xfId="3999"/>
    <cellStyle name="s_Mango Merger_1_ORÇ_2009" xfId="4000"/>
    <cellStyle name="s_Mango Merger_1_Pasta2" xfId="4001"/>
    <cellStyle name="s_Mango Merger_Comparativo VP FIN v1_So 2008" xfId="8285"/>
    <cellStyle name="s_Mango Merger_Comparativo VP MKT 2008 v1_So 2008" xfId="8286"/>
    <cellStyle name="s_Mango Merger_Comparativo VP TEC 2008 v1_So 2008" xfId="8287"/>
    <cellStyle name="s_Mango Merger_Comparativo VP TEC 2008_Luiz Sergio" xfId="8288"/>
    <cellStyle name="s_Mango Merger_Cópia de Modelo - Fluxo de Caixa Orcamento 09052009_V36_3" xfId="4002"/>
    <cellStyle name="s_Mango Merger_Fluxo de Caixa Orcamento FINAL_13052009" xfId="4003"/>
    <cellStyle name="s_Mango Merger_FM_dummyV4" xfId="4004"/>
    <cellStyle name="s_Mango Merger_lalur" xfId="4005"/>
    <cellStyle name="s_Mango Merger_Leasing_V3" xfId="4006"/>
    <cellStyle name="s_Mango Merger_MODELO PDP III" xfId="4007"/>
    <cellStyle name="s_Mango Merger_ORÇ_2009" xfId="4008"/>
    <cellStyle name="s_Mango Merger_Pasta2" xfId="4009"/>
    <cellStyle name="s_Mary911" xfId="4010"/>
    <cellStyle name="s_Mary911_Comparativo VP FIN v1_So 2008" xfId="8289"/>
    <cellStyle name="s_Mary911_Comparativo VP MKT 2008 v1_So 2008" xfId="8290"/>
    <cellStyle name="s_Mary911_Comparativo VP TEC 2008 v1_So 2008" xfId="8291"/>
    <cellStyle name="s_Mary911_Comparativo VP TEC 2008_Luiz Sergio" xfId="8292"/>
    <cellStyle name="s_Mary911_Cópia de Modelo - Fluxo de Caixa Orcamento 09052009_V36_3" xfId="4011"/>
    <cellStyle name="s_Mary911_Fluxo de Caixa Orcamento FINAL_13052009" xfId="4012"/>
    <cellStyle name="s_Mary911_FM_dummyV4" xfId="4013"/>
    <cellStyle name="s_Mary911_lalur" xfId="4014"/>
    <cellStyle name="s_Mary911_Leasing_V3" xfId="4015"/>
    <cellStyle name="s_Mary911_MODELO PDP III" xfId="4016"/>
    <cellStyle name="s_Mary911_ORÇ_2009" xfId="4017"/>
    <cellStyle name="s_Mary911_Pasta2" xfId="4018"/>
    <cellStyle name="s_Matrix_B" xfId="4019"/>
    <cellStyle name="s_Matrix_B_Comparativo VP FIN v1_So 2008" xfId="8293"/>
    <cellStyle name="s_Matrix_B_Comparativo VP MKT 2008 v1_So 2008" xfId="8294"/>
    <cellStyle name="s_Matrix_B_Comparativo VP TEC 2008 v1_So 2008" xfId="8295"/>
    <cellStyle name="s_Matrix_B_Comparativo VP TEC 2008_Luiz Sergio" xfId="8296"/>
    <cellStyle name="s_Matrix_B_Cópia de Modelo - Fluxo de Caixa Orcamento 09052009_V36_3" xfId="4020"/>
    <cellStyle name="s_Matrix_B_Fluxo de Caixa Orcamento FINAL_13052009" xfId="4021"/>
    <cellStyle name="s_Matrix_B_FM_dummyV4" xfId="4022"/>
    <cellStyle name="s_Matrix_B_lalur" xfId="4023"/>
    <cellStyle name="s_Matrix_B_Leasing_V3" xfId="4024"/>
    <cellStyle name="s_Matrix_B_MODELO PDP III" xfId="4025"/>
    <cellStyle name="s_Matrix_B_ORÇ_2009" xfId="4026"/>
    <cellStyle name="s_Matrix_B_Pasta2" xfId="4027"/>
    <cellStyle name="s_Matrix_B_Q2 pipeline" xfId="4028"/>
    <cellStyle name="s_Matrix_B_Q2 pipeline 2" xfId="8297"/>
    <cellStyle name="s_Matrix_B_Q2 pipeline_Cópia de Modelo - Fluxo de Caixa Orcamento 09052009_V36_3" xfId="4029"/>
    <cellStyle name="s_Matrix_B_Q2 pipeline_Cópia de Modelo - Fluxo de Caixa Orcamento 09052009_V36_3 2" xfId="8298"/>
    <cellStyle name="s_Matrix_B_Q2 pipeline_Fluxo de Caixa Orcamento FINAL_13052009" xfId="4030"/>
    <cellStyle name="s_Matrix_B_Q2 pipeline_Fluxo de Caixa Orcamento FINAL_13052009 2" xfId="8299"/>
    <cellStyle name="s_Matrix_B_Q2 pipeline_FM_dummyV4" xfId="4031"/>
    <cellStyle name="s_Matrix_B_Q2 pipeline_lalur" xfId="4032"/>
    <cellStyle name="s_Matrix_B_Q2 pipeline_Leasing_V3" xfId="4033"/>
    <cellStyle name="s_Matrix_B_Q2 pipeline_MODELO PDP III" xfId="4034"/>
    <cellStyle name="s_Matrix_B_Q2 pipeline_ORÇ_2009" xfId="4035"/>
    <cellStyle name="s_Matrix_B_Q2 pipeline_ORÇ_2009 2" xfId="8300"/>
    <cellStyle name="s_Matrix_B_Q2 pipeline_Pasta2" xfId="4036"/>
    <cellStyle name="s_Matrix_B_Q2 pipeline_Pasta2 2" xfId="8301"/>
    <cellStyle name="s_Matrix_T" xfId="4037"/>
    <cellStyle name="s_Matrix_T_Comparativo VP FIN v1_So 2008" xfId="8302"/>
    <cellStyle name="s_Matrix_T_Comparativo VP MKT 2008 v1_So 2008" xfId="8303"/>
    <cellStyle name="s_Matrix_T_Comparativo VP TEC 2008 v1_So 2008" xfId="8304"/>
    <cellStyle name="s_Matrix_T_Comparativo VP TEC 2008_Luiz Sergio" xfId="8305"/>
    <cellStyle name="s_Matrix_T_Cópia de Modelo - Fluxo de Caixa Orcamento 09052009_V36_3" xfId="4038"/>
    <cellStyle name="s_Matrix_T_Fluxo de Caixa Orcamento FINAL_13052009" xfId="4039"/>
    <cellStyle name="s_Matrix_T_FM_dummyV4" xfId="4040"/>
    <cellStyle name="s_Matrix_T_lalur" xfId="4041"/>
    <cellStyle name="s_Matrix_T_Leasing_V3" xfId="4042"/>
    <cellStyle name="s_Matrix_T_MODELO PDP III" xfId="4043"/>
    <cellStyle name="s_Matrix_T_ORÇ_2009" xfId="4044"/>
    <cellStyle name="s_Matrix_T_Pasta2" xfId="4045"/>
    <cellStyle name="s_Matrix_T_Q2 pipeline" xfId="4046"/>
    <cellStyle name="s_Matrix_T_Q2 pipeline 2" xfId="8306"/>
    <cellStyle name="s_Matrix_T_Q2 pipeline_Cópia de Modelo - Fluxo de Caixa Orcamento 09052009_V36_3" xfId="4047"/>
    <cellStyle name="s_Matrix_T_Q2 pipeline_Cópia de Modelo - Fluxo de Caixa Orcamento 09052009_V36_3 2" xfId="8307"/>
    <cellStyle name="s_Matrix_T_Q2 pipeline_Fluxo de Caixa Orcamento FINAL_13052009" xfId="4048"/>
    <cellStyle name="s_Matrix_T_Q2 pipeline_Fluxo de Caixa Orcamento FINAL_13052009 2" xfId="8308"/>
    <cellStyle name="s_Matrix_T_Q2 pipeline_FM_dummyV4" xfId="4049"/>
    <cellStyle name="s_Matrix_T_Q2 pipeline_lalur" xfId="4050"/>
    <cellStyle name="s_Matrix_T_Q2 pipeline_Leasing_V3" xfId="4051"/>
    <cellStyle name="s_Matrix_T_Q2 pipeline_MODELO PDP III" xfId="4052"/>
    <cellStyle name="s_Matrix_T_Q2 pipeline_ORÇ_2009" xfId="4053"/>
    <cellStyle name="s_Matrix_T_Q2 pipeline_ORÇ_2009 2" xfId="8309"/>
    <cellStyle name="s_Matrix_T_Q2 pipeline_Pasta2" xfId="4054"/>
    <cellStyle name="s_Matrix_T_Q2 pipeline_Pasta2 2" xfId="8310"/>
    <cellStyle name="s_Merger" xfId="4055"/>
    <cellStyle name="s_Merger_Comparativo VP FIN v1_So 2008" xfId="8311"/>
    <cellStyle name="s_Merger_Comparativo VP MKT 2008 v1_So 2008" xfId="8312"/>
    <cellStyle name="s_Merger_Comparativo VP TEC 2008 v1_So 2008" xfId="8313"/>
    <cellStyle name="s_Merger_Comparativo VP TEC 2008_Luiz Sergio" xfId="8314"/>
    <cellStyle name="s_Merger_Cópia de Modelo - Fluxo de Caixa Orcamento 09052009_V36_3" xfId="4056"/>
    <cellStyle name="s_Merger_Fluxo de Caixa Orcamento FINAL_13052009" xfId="4057"/>
    <cellStyle name="s_Merger_FM_dummyV4" xfId="4058"/>
    <cellStyle name="s_Merger_lalur" xfId="4059"/>
    <cellStyle name="s_Merger_Leasing_V3" xfId="4060"/>
    <cellStyle name="s_Merger_MODELO PDP III" xfId="4061"/>
    <cellStyle name="s_Merger_ORÇ_2009" xfId="4062"/>
    <cellStyle name="s_Merger_Pasta2" xfId="4063"/>
    <cellStyle name="s_Merger_Q2 pipeline" xfId="4064"/>
    <cellStyle name="s_Merger_Q2 pipeline 2" xfId="8315"/>
    <cellStyle name="s_Merger_Q2 pipeline_Cópia de Modelo - Fluxo de Caixa Orcamento 09052009_V36_3" xfId="4065"/>
    <cellStyle name="s_Merger_Q2 pipeline_Cópia de Modelo - Fluxo de Caixa Orcamento 09052009_V36_3 2" xfId="8316"/>
    <cellStyle name="s_Merger_Q2 pipeline_Fluxo de Caixa Orcamento FINAL_13052009" xfId="4066"/>
    <cellStyle name="s_Merger_Q2 pipeline_Fluxo de Caixa Orcamento FINAL_13052009 2" xfId="8317"/>
    <cellStyle name="s_Merger_Q2 pipeline_FM_dummyV4" xfId="4067"/>
    <cellStyle name="s_Merger_Q2 pipeline_lalur" xfId="4068"/>
    <cellStyle name="s_Merger_Q2 pipeline_Leasing_V3" xfId="4069"/>
    <cellStyle name="s_Merger_Q2 pipeline_MODELO PDP III" xfId="4070"/>
    <cellStyle name="s_Merger_Q2 pipeline_ORÇ_2009" xfId="4071"/>
    <cellStyle name="s_Merger_Q2 pipeline_ORÇ_2009 2" xfId="8318"/>
    <cellStyle name="s_Merger_Q2 pipeline_Pasta2" xfId="4072"/>
    <cellStyle name="s_Merger_Q2 pipeline_Pasta2 2" xfId="8319"/>
    <cellStyle name="s_Mini merg7_20" xfId="4073"/>
    <cellStyle name="s_Mini merg7_20_Comparativo VP FIN v1_So 2008" xfId="8320"/>
    <cellStyle name="s_Mini merg7_20_Comparativo VP MKT 2008 v1_So 2008" xfId="8321"/>
    <cellStyle name="s_Mini merg7_20_Comparativo VP TEC 2008 v1_So 2008" xfId="8322"/>
    <cellStyle name="s_Mini merg7_20_Comparativo VP TEC 2008_Luiz Sergio" xfId="8323"/>
    <cellStyle name="s_Mini merg7_20_Cópia de Modelo - Fluxo de Caixa Orcamento 09052009_V36_3" xfId="4074"/>
    <cellStyle name="s_Mini merg7_20_Fluxo de Caixa Orcamento FINAL_13052009" xfId="4075"/>
    <cellStyle name="s_Mini merg7_20_FM_dummyV4" xfId="4076"/>
    <cellStyle name="s_Mini merg7_20_lalur" xfId="4077"/>
    <cellStyle name="s_Mini merg7_20_Leasing_V3" xfId="4078"/>
    <cellStyle name="s_Mini merg7_20_MODELO PDP III" xfId="4079"/>
    <cellStyle name="s_Mini merg7_20_ORÇ_2009" xfId="4080"/>
    <cellStyle name="s_Mini merg7_20_Pasta2" xfId="4081"/>
    <cellStyle name="s_Model Assumptions (2)" xfId="4082"/>
    <cellStyle name="s_Model Assumptions (2)_1" xfId="4083"/>
    <cellStyle name="s_Model Assumptions (2)_1_Comparativo VP FIN v1_So 2008" xfId="8324"/>
    <cellStyle name="s_Model Assumptions (2)_1_Comparativo VP MKT 2008 v1_So 2008" xfId="8325"/>
    <cellStyle name="s_Model Assumptions (2)_1_Comparativo VP TEC 2008 v1_So 2008" xfId="8326"/>
    <cellStyle name="s_Model Assumptions (2)_1_Comparativo VP TEC 2008_Luiz Sergio" xfId="8327"/>
    <cellStyle name="s_Model Assumptions (2)_1_Cópia de Modelo - Fluxo de Caixa Orcamento 09052009_V36_3" xfId="4084"/>
    <cellStyle name="s_Model Assumptions (2)_1_Fluxo de Caixa Orcamento FINAL_13052009" xfId="4085"/>
    <cellStyle name="s_Model Assumptions (2)_1_FM_dummyV4" xfId="4086"/>
    <cellStyle name="s_Model Assumptions (2)_1_lalur" xfId="4087"/>
    <cellStyle name="s_Model Assumptions (2)_1_Leasing_V3" xfId="4088"/>
    <cellStyle name="s_Model Assumptions (2)_1_MODELO PDP III" xfId="4089"/>
    <cellStyle name="s_Model Assumptions (2)_1_ORÇ_2009" xfId="4090"/>
    <cellStyle name="s_Model Assumptions (2)_1_Pasta2" xfId="4091"/>
    <cellStyle name="s_Model Assumptions (2)_Comparativo VP FIN v1_So 2008" xfId="8328"/>
    <cellStyle name="s_Model Assumptions (2)_Comparativo VP MKT 2008 v1_So 2008" xfId="8329"/>
    <cellStyle name="s_Model Assumptions (2)_Comparativo VP TEC 2008 v1_So 2008" xfId="8330"/>
    <cellStyle name="s_Model Assumptions (2)_Comparativo VP TEC 2008_Luiz Sergio" xfId="8331"/>
    <cellStyle name="s_Model Assumptions (2)_Cópia de Modelo - Fluxo de Caixa Orcamento 09052009_V36_3" xfId="4092"/>
    <cellStyle name="s_Model Assumptions (2)_Fluxo de Caixa Orcamento FINAL_13052009" xfId="4093"/>
    <cellStyle name="s_Model Assumptions (2)_FM_dummyV4" xfId="4094"/>
    <cellStyle name="s_Model Assumptions (2)_lalur" xfId="4095"/>
    <cellStyle name="s_Model Assumptions (2)_Leasing_V3" xfId="4096"/>
    <cellStyle name="s_Model Assumptions (2)_MODELO PDP III" xfId="4097"/>
    <cellStyle name="s_Model Assumptions (2)_ORÇ_2009" xfId="4098"/>
    <cellStyle name="s_Model Assumptions (2)_Pasta2" xfId="4099"/>
    <cellStyle name="s_Model_19" xfId="4100"/>
    <cellStyle name="s_Model_19_Comparativo VP FIN v1_So 2008" xfId="8332"/>
    <cellStyle name="s_Model_19_Comparativo VP MKT 2008 v1_So 2008" xfId="8333"/>
    <cellStyle name="s_Model_19_Comparativo VP TEC 2008 v1_So 2008" xfId="8334"/>
    <cellStyle name="s_Model_19_Comparativo VP TEC 2008_Luiz Sergio" xfId="8335"/>
    <cellStyle name="s_Model_19_Cópia de Modelo - Fluxo de Caixa Orcamento 09052009_V36_3" xfId="4101"/>
    <cellStyle name="s_Model_19_Fluxo de Caixa Orcamento FINAL_13052009" xfId="4102"/>
    <cellStyle name="s_Model_19_FM_dummyV4" xfId="4103"/>
    <cellStyle name="s_Model_19_lalur" xfId="4104"/>
    <cellStyle name="s_Model_19_Leasing_V3" xfId="4105"/>
    <cellStyle name="s_Model_19_MODELO PDP III" xfId="4106"/>
    <cellStyle name="s_Model_19_ORÇ_2009" xfId="4107"/>
    <cellStyle name="s_Model_19_Pasta2" xfId="4108"/>
    <cellStyle name="s_Model_19_Q2 pipeline" xfId="4109"/>
    <cellStyle name="s_Model_19_Q2 pipeline 2" xfId="8336"/>
    <cellStyle name="s_Model_19_Q2 pipeline_Cópia de Modelo - Fluxo de Caixa Orcamento 09052009_V36_3" xfId="4110"/>
    <cellStyle name="s_Model_19_Q2 pipeline_Cópia de Modelo - Fluxo de Caixa Orcamento 09052009_V36_3 2" xfId="8337"/>
    <cellStyle name="s_Model_19_Q2 pipeline_Fluxo de Caixa Orcamento FINAL_13052009" xfId="4111"/>
    <cellStyle name="s_Model_19_Q2 pipeline_Fluxo de Caixa Orcamento FINAL_13052009 2" xfId="8338"/>
    <cellStyle name="s_Model_19_Q2 pipeline_FM_dummyV4" xfId="4112"/>
    <cellStyle name="s_Model_19_Q2 pipeline_lalur" xfId="4113"/>
    <cellStyle name="s_Model_19_Q2 pipeline_Leasing_V3" xfId="4114"/>
    <cellStyle name="s_Model_19_Q2 pipeline_MODELO PDP III" xfId="4115"/>
    <cellStyle name="s_Model_19_Q2 pipeline_ORÇ_2009" xfId="4116"/>
    <cellStyle name="s_Model_19_Q2 pipeline_ORÇ_2009 2" xfId="8339"/>
    <cellStyle name="s_Model_19_Q2 pipeline_Pasta2" xfId="4117"/>
    <cellStyle name="s_Model_19_Q2 pipeline_Pasta2 2" xfId="8340"/>
    <cellStyle name="s_Model0717" xfId="4118"/>
    <cellStyle name="s_Model0717_Comparativo VP FIN v1_So 2008" xfId="8341"/>
    <cellStyle name="s_Model0717_Comparativo VP MKT 2008 v1_So 2008" xfId="8342"/>
    <cellStyle name="s_Model0717_Comparativo VP TEC 2008 v1_So 2008" xfId="8343"/>
    <cellStyle name="s_Model0717_Comparativo VP TEC 2008_Luiz Sergio" xfId="8344"/>
    <cellStyle name="s_Model0717_Cópia de Modelo - Fluxo de Caixa Orcamento 09052009_V36_3" xfId="4119"/>
    <cellStyle name="s_Model0717_Fluxo de Caixa Orcamento FINAL_13052009" xfId="4120"/>
    <cellStyle name="s_Model0717_FM_dummyV4" xfId="4121"/>
    <cellStyle name="s_Model0717_lalur" xfId="4122"/>
    <cellStyle name="s_Model0717_Leasing_V3" xfId="4123"/>
    <cellStyle name="s_Model0717_MODELO PDP III" xfId="4124"/>
    <cellStyle name="s_Model0717_ORÇ_2009" xfId="4125"/>
    <cellStyle name="s_Model0717_Pasta2" xfId="4126"/>
    <cellStyle name="s_model2" xfId="4127"/>
    <cellStyle name="s_model2_Comparativo VP FIN v1_So 2008" xfId="8345"/>
    <cellStyle name="s_model2_Comparativo VP MKT 2008 v1_So 2008" xfId="8346"/>
    <cellStyle name="s_model2_Comparativo VP TEC 2008 v1_So 2008" xfId="8347"/>
    <cellStyle name="s_model2_Comparativo VP TEC 2008_Luiz Sergio" xfId="8348"/>
    <cellStyle name="s_model2_Cópia de Modelo - Fluxo de Caixa Orcamento 09052009_V36_3" xfId="4128"/>
    <cellStyle name="s_model2_Fluxo de Caixa Orcamento FINAL_13052009" xfId="4129"/>
    <cellStyle name="s_model2_FM_dummyV4" xfId="4130"/>
    <cellStyle name="s_model2_lalur" xfId="4131"/>
    <cellStyle name="s_model2_Leasing_V3" xfId="4132"/>
    <cellStyle name="s_model2_MODELO PDP III" xfId="4133"/>
    <cellStyle name="s_model2_ORÇ_2009" xfId="4134"/>
    <cellStyle name="s_model2_Pasta2" xfId="4135"/>
    <cellStyle name="s_model2_Q2 pipeline" xfId="4136"/>
    <cellStyle name="s_model2_Q2 pipeline 2" xfId="8349"/>
    <cellStyle name="s_model2_Q2 pipeline_Cópia de Modelo - Fluxo de Caixa Orcamento 09052009_V36_3" xfId="4137"/>
    <cellStyle name="s_model2_Q2 pipeline_Cópia de Modelo - Fluxo de Caixa Orcamento 09052009_V36_3 2" xfId="8350"/>
    <cellStyle name="s_model2_Q2 pipeline_Fluxo de Caixa Orcamento FINAL_13052009" xfId="4138"/>
    <cellStyle name="s_model2_Q2 pipeline_Fluxo de Caixa Orcamento FINAL_13052009 2" xfId="8351"/>
    <cellStyle name="s_model2_Q2 pipeline_FM_dummyV4" xfId="4139"/>
    <cellStyle name="s_model2_Q2 pipeline_lalur" xfId="4140"/>
    <cellStyle name="s_model2_Q2 pipeline_Leasing_V3" xfId="4141"/>
    <cellStyle name="s_model2_Q2 pipeline_MODELO PDP III" xfId="4142"/>
    <cellStyle name="s_model2_Q2 pipeline_ORÇ_2009" xfId="4143"/>
    <cellStyle name="s_model2_Q2 pipeline_ORÇ_2009 2" xfId="8352"/>
    <cellStyle name="s_model2_Q2 pipeline_Pasta2" xfId="4144"/>
    <cellStyle name="s_model2_Q2 pipeline_Pasta2 2" xfId="8353"/>
    <cellStyle name="s_MODELO PDP III" xfId="4145"/>
    <cellStyle name="s_MSDWmodell_July00" xfId="4146"/>
    <cellStyle name="s_OBGYN (2)" xfId="4147"/>
    <cellStyle name="s_OBGYN (2)_1" xfId="4148"/>
    <cellStyle name="s_OBGYN (2)_1_Comparativo VP FIN v1_So 2008" xfId="8354"/>
    <cellStyle name="s_OBGYN (2)_1_Comparativo VP MKT 2008 v1_So 2008" xfId="8355"/>
    <cellStyle name="s_OBGYN (2)_1_Comparativo VP TEC 2008 v1_So 2008" xfId="8356"/>
    <cellStyle name="s_OBGYN (2)_1_Comparativo VP TEC 2008_Luiz Sergio" xfId="8357"/>
    <cellStyle name="s_OBGYN (2)_1_Cópia de Modelo - Fluxo de Caixa Orcamento 09052009_V36_3" xfId="4149"/>
    <cellStyle name="s_OBGYN (2)_1_Fluxo de Caixa Orcamento FINAL_13052009" xfId="4150"/>
    <cellStyle name="s_OBGYN (2)_1_FM_dummyV4" xfId="4151"/>
    <cellStyle name="s_OBGYN (2)_1_lalur" xfId="4152"/>
    <cellStyle name="s_OBGYN (2)_1_Leasing_V3" xfId="4153"/>
    <cellStyle name="s_OBGYN (2)_1_MODELO PDP III" xfId="4154"/>
    <cellStyle name="s_OBGYN (2)_1_ORÇ_2009" xfId="4155"/>
    <cellStyle name="s_OBGYN (2)_1_Pasta2" xfId="4156"/>
    <cellStyle name="s_OBGYN (2)_2" xfId="4157"/>
    <cellStyle name="s_OBGYN (2)_2_Comparativo VP FIN v1_So 2008" xfId="8358"/>
    <cellStyle name="s_OBGYN (2)_2_Comparativo VP MKT 2008 v1_So 2008" xfId="8359"/>
    <cellStyle name="s_OBGYN (2)_2_Comparativo VP TEC 2008 v1_So 2008" xfId="8360"/>
    <cellStyle name="s_OBGYN (2)_2_Comparativo VP TEC 2008_Luiz Sergio" xfId="8361"/>
    <cellStyle name="s_OBGYN (2)_2_Cópia de Modelo - Fluxo de Caixa Orcamento 09052009_V36_3" xfId="4158"/>
    <cellStyle name="s_OBGYN (2)_2_Fluxo de Caixa Orcamento FINAL_13052009" xfId="4159"/>
    <cellStyle name="s_OBGYN (2)_2_FM_dummyV4" xfId="4160"/>
    <cellStyle name="s_OBGYN (2)_2_lalur" xfId="4161"/>
    <cellStyle name="s_OBGYN (2)_2_Leasing_V3" xfId="4162"/>
    <cellStyle name="s_OBGYN (2)_2_MODELO PDP III" xfId="4163"/>
    <cellStyle name="s_OBGYN (2)_2_ORÇ_2009" xfId="4164"/>
    <cellStyle name="s_OBGYN (2)_2_Pasta2" xfId="4165"/>
    <cellStyle name="s_OBGYN (2)_Comparativo VP FIN v1_So 2008" xfId="8362"/>
    <cellStyle name="s_OBGYN (2)_Comparativo VP MKT 2008 v1_So 2008" xfId="8363"/>
    <cellStyle name="s_OBGYN (2)_Comparativo VP TEC 2008 v1_So 2008" xfId="8364"/>
    <cellStyle name="s_OBGYN (2)_Comparativo VP TEC 2008_Luiz Sergio" xfId="8365"/>
    <cellStyle name="s_OBGYN (2)_Cópia de Modelo - Fluxo de Caixa Orcamento 09052009_V36_3" xfId="4166"/>
    <cellStyle name="s_OBGYN (2)_Fluxo de Caixa Orcamento FINAL_13052009" xfId="4167"/>
    <cellStyle name="s_OBGYN (2)_FM_dummyV4" xfId="4168"/>
    <cellStyle name="s_OBGYN (2)_lalur" xfId="4169"/>
    <cellStyle name="s_OBGYN (2)_Leasing_V3" xfId="4170"/>
    <cellStyle name="s_OBGYN (2)_MODELO PDP III" xfId="4171"/>
    <cellStyle name="s_OBGYN (2)_ORÇ_2009" xfId="4172"/>
    <cellStyle name="s_OBGYN (2)_Pasta2" xfId="4173"/>
    <cellStyle name="s_ORÇ_2009" xfId="4174"/>
    <cellStyle name="s_Other Businesses (2)" xfId="4175"/>
    <cellStyle name="s_Other Businesses (2)_1" xfId="4176"/>
    <cellStyle name="s_Other Businesses (2)_1_Comparativo VP FIN v1_So 2008" xfId="8366"/>
    <cellStyle name="s_Other Businesses (2)_1_Comparativo VP MKT 2008 v1_So 2008" xfId="8367"/>
    <cellStyle name="s_Other Businesses (2)_1_Comparativo VP TEC 2008 v1_So 2008" xfId="8368"/>
    <cellStyle name="s_Other Businesses (2)_1_Comparativo VP TEC 2008_Luiz Sergio" xfId="8369"/>
    <cellStyle name="s_Other Businesses (2)_1_Cópia de Modelo - Fluxo de Caixa Orcamento 09052009_V36_3" xfId="4177"/>
    <cellStyle name="s_Other Businesses (2)_1_Fluxo de Caixa Orcamento FINAL_13052009" xfId="4178"/>
    <cellStyle name="s_Other Businesses (2)_1_FM_dummyV4" xfId="4179"/>
    <cellStyle name="s_Other Businesses (2)_1_lalur" xfId="4180"/>
    <cellStyle name="s_Other Businesses (2)_1_Leasing_V3" xfId="4181"/>
    <cellStyle name="s_Other Businesses (2)_1_MODELO PDP III" xfId="4182"/>
    <cellStyle name="s_Other Businesses (2)_1_ORÇ_2009" xfId="4183"/>
    <cellStyle name="s_Other Businesses (2)_1_Pasta2" xfId="4184"/>
    <cellStyle name="s_Other Businesses (2)_2" xfId="4185"/>
    <cellStyle name="s_Other Businesses (2)_2_Comparativo VP FIN v1_So 2008" xfId="8370"/>
    <cellStyle name="s_Other Businesses (2)_2_Comparativo VP MKT 2008 v1_So 2008" xfId="8371"/>
    <cellStyle name="s_Other Businesses (2)_2_Comparativo VP TEC 2008 v1_So 2008" xfId="8372"/>
    <cellStyle name="s_Other Businesses (2)_2_Comparativo VP TEC 2008_Luiz Sergio" xfId="8373"/>
    <cellStyle name="s_Other Businesses (2)_2_Cópia de Modelo - Fluxo de Caixa Orcamento 09052009_V36_3" xfId="4186"/>
    <cellStyle name="s_Other Businesses (2)_2_Fluxo de Caixa Orcamento FINAL_13052009" xfId="4187"/>
    <cellStyle name="s_Other Businesses (2)_2_FM_dummyV4" xfId="4188"/>
    <cellStyle name="s_Other Businesses (2)_2_lalur" xfId="4189"/>
    <cellStyle name="s_Other Businesses (2)_2_Leasing_V3" xfId="4190"/>
    <cellStyle name="s_Other Businesses (2)_2_MODELO PDP III" xfId="4191"/>
    <cellStyle name="s_Other Businesses (2)_2_ORÇ_2009" xfId="4192"/>
    <cellStyle name="s_Other Businesses (2)_2_Pasta2" xfId="4193"/>
    <cellStyle name="s_Other Businesses (2)_Comparativo VP FIN v1_So 2008" xfId="8374"/>
    <cellStyle name="s_Other Businesses (2)_Comparativo VP MKT 2008 v1_So 2008" xfId="8375"/>
    <cellStyle name="s_Other Businesses (2)_Comparativo VP TEC 2008 v1_So 2008" xfId="8376"/>
    <cellStyle name="s_Other Businesses (2)_Comparativo VP TEC 2008_Luiz Sergio" xfId="8377"/>
    <cellStyle name="s_Other Businesses (2)_Cópia de Modelo - Fluxo de Caixa Orcamento 09052009_V36_3" xfId="4194"/>
    <cellStyle name="s_Other Businesses (2)_Fluxo de Caixa Orcamento FINAL_13052009" xfId="4195"/>
    <cellStyle name="s_Other Businesses (2)_FM_dummyV4" xfId="4196"/>
    <cellStyle name="s_Other Businesses (2)_lalur" xfId="4197"/>
    <cellStyle name="s_Other Businesses (2)_Leasing_V3" xfId="4198"/>
    <cellStyle name="s_Other Businesses (2)_MODELO PDP III" xfId="4199"/>
    <cellStyle name="s_Other Businesses (2)_ORÇ_2009" xfId="4200"/>
    <cellStyle name="s_Other Businesses (2)_Pasta2" xfId="4201"/>
    <cellStyle name="s_Ownership" xfId="4202"/>
    <cellStyle name="s_Ownership_1" xfId="4203"/>
    <cellStyle name="s_Ownership_1_Comparativo VP FIN v1_So 2008" xfId="8378"/>
    <cellStyle name="s_Ownership_1_Comparativo VP MKT 2008 v1_So 2008" xfId="8379"/>
    <cellStyle name="s_Ownership_1_Comparativo VP TEC 2008 v1_So 2008" xfId="8380"/>
    <cellStyle name="s_Ownership_1_Comparativo VP TEC 2008_Luiz Sergio" xfId="8381"/>
    <cellStyle name="s_Ownership_1_Cópia de Modelo - Fluxo de Caixa Orcamento 09052009_V36_3" xfId="4204"/>
    <cellStyle name="s_Ownership_1_Fluxo de Caixa Orcamento FINAL_13052009" xfId="4205"/>
    <cellStyle name="s_Ownership_1_FM_dummyV4" xfId="4206"/>
    <cellStyle name="s_Ownership_1_lalur" xfId="4207"/>
    <cellStyle name="s_Ownership_1_Leasing_V3" xfId="4208"/>
    <cellStyle name="s_Ownership_1_MODELO PDP III" xfId="4209"/>
    <cellStyle name="s_Ownership_1_ORÇ_2009" xfId="4210"/>
    <cellStyle name="s_Ownership_1_Pasta2" xfId="4211"/>
    <cellStyle name="s_Ownership_Comparativo VP FIN v1_So 2008" xfId="8382"/>
    <cellStyle name="s_Ownership_Comparativo VP MKT 2008 v1_So 2008" xfId="8383"/>
    <cellStyle name="s_Ownership_Comparativo VP TEC 2008 v1_So 2008" xfId="8384"/>
    <cellStyle name="s_Ownership_Comparativo VP TEC 2008_Luiz Sergio" xfId="8385"/>
    <cellStyle name="s_Ownership_Cópia de Modelo - Fluxo de Caixa Orcamento 09052009_V36_3" xfId="4212"/>
    <cellStyle name="s_Ownership_Fluxo de Caixa Orcamento FINAL_13052009" xfId="4213"/>
    <cellStyle name="s_Ownership_FM_dummyV4" xfId="4214"/>
    <cellStyle name="s_Ownership_lalur" xfId="4215"/>
    <cellStyle name="s_Ownership_Leasing_V3" xfId="4216"/>
    <cellStyle name="s_Ownership_MODELO PDP III" xfId="4217"/>
    <cellStyle name="s_Ownership_ORÇ_2009" xfId="4218"/>
    <cellStyle name="s_Ownership_Pasta2" xfId="4219"/>
    <cellStyle name="s_P_L_Ratios" xfId="4220"/>
    <cellStyle name="s_P_L_Ratios_B" xfId="4221"/>
    <cellStyle name="s_P_L_Ratios_B_Comparativo VP FIN v1_So 2008" xfId="8386"/>
    <cellStyle name="s_P_L_Ratios_B_Comparativo VP MKT 2008 v1_So 2008" xfId="8387"/>
    <cellStyle name="s_P_L_Ratios_B_Comparativo VP TEC 2008 v1_So 2008" xfId="8388"/>
    <cellStyle name="s_P_L_Ratios_B_Comparativo VP TEC 2008_Luiz Sergio" xfId="8389"/>
    <cellStyle name="s_P_L_Ratios_B_Cópia de Modelo - Fluxo de Caixa Orcamento 09052009_V36_3" xfId="4222"/>
    <cellStyle name="s_P_L_Ratios_B_Fluxo de Caixa Orcamento FINAL_13052009" xfId="4223"/>
    <cellStyle name="s_P_L_Ratios_B_FM_dummyV4" xfId="4224"/>
    <cellStyle name="s_P_L_Ratios_B_lalur" xfId="4225"/>
    <cellStyle name="s_P_L_Ratios_B_Leasing_V3" xfId="4226"/>
    <cellStyle name="s_P_L_Ratios_B_MODELO PDP III" xfId="4227"/>
    <cellStyle name="s_P_L_Ratios_B_ORÇ_2009" xfId="4228"/>
    <cellStyle name="s_P_L_Ratios_B_Pasta2" xfId="4229"/>
    <cellStyle name="s_P_L_Ratios_B_Q2 pipeline" xfId="4230"/>
    <cellStyle name="s_P_L_Ratios_B_Q2 pipeline 2" xfId="8390"/>
    <cellStyle name="s_P_L_Ratios_B_Q2 pipeline_Cópia de Modelo - Fluxo de Caixa Orcamento 09052009_V36_3" xfId="4231"/>
    <cellStyle name="s_P_L_Ratios_B_Q2 pipeline_Cópia de Modelo - Fluxo de Caixa Orcamento 09052009_V36_3 2" xfId="8391"/>
    <cellStyle name="s_P_L_Ratios_B_Q2 pipeline_Fluxo de Caixa Orcamento FINAL_13052009" xfId="4232"/>
    <cellStyle name="s_P_L_Ratios_B_Q2 pipeline_Fluxo de Caixa Orcamento FINAL_13052009 2" xfId="8392"/>
    <cellStyle name="s_P_L_Ratios_B_Q2 pipeline_FM_dummyV4" xfId="4233"/>
    <cellStyle name="s_P_L_Ratios_B_Q2 pipeline_lalur" xfId="4234"/>
    <cellStyle name="s_P_L_Ratios_B_Q2 pipeline_Leasing_V3" xfId="4235"/>
    <cellStyle name="s_P_L_Ratios_B_Q2 pipeline_MODELO PDP III" xfId="4236"/>
    <cellStyle name="s_P_L_Ratios_B_Q2 pipeline_ORÇ_2009" xfId="4237"/>
    <cellStyle name="s_P_L_Ratios_B_Q2 pipeline_ORÇ_2009 2" xfId="8393"/>
    <cellStyle name="s_P_L_Ratios_B_Q2 pipeline_Pasta2" xfId="4238"/>
    <cellStyle name="s_P_L_Ratios_B_Q2 pipeline_Pasta2 2" xfId="8394"/>
    <cellStyle name="s_P_L_Ratios_Comparativo VP FIN v1_So 2008" xfId="8395"/>
    <cellStyle name="s_P_L_Ratios_Comparativo VP MKT 2008 v1_So 2008" xfId="8396"/>
    <cellStyle name="s_P_L_Ratios_Comparativo VP TEC 2008 v1_So 2008" xfId="8397"/>
    <cellStyle name="s_P_L_Ratios_Comparativo VP TEC 2008_Luiz Sergio" xfId="8398"/>
    <cellStyle name="s_P_L_Ratios_Cópia de Modelo - Fluxo de Caixa Orcamento 09052009_V36_3" xfId="4239"/>
    <cellStyle name="s_P_L_Ratios_Fluxo de Caixa Orcamento FINAL_13052009" xfId="4240"/>
    <cellStyle name="s_P_L_Ratios_FM_dummyV4" xfId="4241"/>
    <cellStyle name="s_P_L_Ratios_lalur" xfId="4242"/>
    <cellStyle name="s_P_L_Ratios_Leasing_V3" xfId="4243"/>
    <cellStyle name="s_P_L_Ratios_MODELO PDP III" xfId="4244"/>
    <cellStyle name="s_P_L_Ratios_ORÇ_2009" xfId="4245"/>
    <cellStyle name="s_P_L_Ratios_Pasta2" xfId="4246"/>
    <cellStyle name="s_P_L_Ratios_Q2 pipeline" xfId="4247"/>
    <cellStyle name="s_P_L_Ratios_Q2 pipeline 2" xfId="8399"/>
    <cellStyle name="s_P_L_Ratios_Q2 pipeline_Cópia de Modelo - Fluxo de Caixa Orcamento 09052009_V36_3" xfId="4248"/>
    <cellStyle name="s_P_L_Ratios_Q2 pipeline_Cópia de Modelo - Fluxo de Caixa Orcamento 09052009_V36_3 2" xfId="8400"/>
    <cellStyle name="s_P_L_Ratios_Q2 pipeline_Fluxo de Caixa Orcamento FINAL_13052009" xfId="4249"/>
    <cellStyle name="s_P_L_Ratios_Q2 pipeline_Fluxo de Caixa Orcamento FINAL_13052009 2" xfId="8401"/>
    <cellStyle name="s_P_L_Ratios_Q2 pipeline_FM_dummyV4" xfId="4250"/>
    <cellStyle name="s_P_L_Ratios_Q2 pipeline_lalur" xfId="4251"/>
    <cellStyle name="s_P_L_Ratios_Q2 pipeline_Leasing_V3" xfId="4252"/>
    <cellStyle name="s_P_L_Ratios_Q2 pipeline_MODELO PDP III" xfId="4253"/>
    <cellStyle name="s_P_L_Ratios_Q2 pipeline_ORÇ_2009" xfId="4254"/>
    <cellStyle name="s_P_L_Ratios_Q2 pipeline_ORÇ_2009 2" xfId="8402"/>
    <cellStyle name="s_P_L_Ratios_Q2 pipeline_Pasta2" xfId="4255"/>
    <cellStyle name="s_P_L_Ratios_Q2 pipeline_Pasta2 2" xfId="8403"/>
    <cellStyle name="s_Pasta2" xfId="4256"/>
    <cellStyle name="s_PDGDCF1" xfId="4257"/>
    <cellStyle name="s_PDGDCF1_Comparativo VP FIN v1_So 2008" xfId="8404"/>
    <cellStyle name="s_PDGDCF1_Comparativo VP MKT 2008 v1_So 2008" xfId="8405"/>
    <cellStyle name="s_PDGDCF1_Comparativo VP TEC 2008 v1_So 2008" xfId="8406"/>
    <cellStyle name="s_PDGDCF1_Comparativo VP TEC 2008_Luiz Sergio" xfId="8407"/>
    <cellStyle name="s_PDGDCF1_Cópia de Modelo - Fluxo de Caixa Orcamento 09052009_V36_3" xfId="4258"/>
    <cellStyle name="s_PDGDCF1_Fluxo de Caixa Orcamento FINAL_13052009" xfId="4259"/>
    <cellStyle name="s_PDGDCF1_FM_dummyV4" xfId="4260"/>
    <cellStyle name="s_PDGDCF1_lalur" xfId="4261"/>
    <cellStyle name="s_PDGDCF1_Leasing_V3" xfId="4262"/>
    <cellStyle name="s_PDGDCF1_MODELO PDP III" xfId="4263"/>
    <cellStyle name="s_PDGDCF1_ORÇ_2009" xfId="4264"/>
    <cellStyle name="s_PDGDCF1_Pasta2" xfId="4265"/>
    <cellStyle name="s_pearl_wacc" xfId="4266"/>
    <cellStyle name="s_pearl_wacc_Comparativo VP FIN v1_So 2008" xfId="8408"/>
    <cellStyle name="s_pearl_wacc_Comparativo VP MKT 2008 v1_So 2008" xfId="8409"/>
    <cellStyle name="s_pearl_wacc_Comparativo VP TEC 2008 v1_So 2008" xfId="8410"/>
    <cellStyle name="s_pearl_wacc_Comparativo VP TEC 2008_Luiz Sergio" xfId="8411"/>
    <cellStyle name="s_pearl_wacc_Cópia de Modelo - Fluxo de Caixa Orcamento 09052009_V36_3" xfId="4267"/>
    <cellStyle name="s_pearl_wacc_Fluxo de Caixa Orcamento FINAL_13052009" xfId="4268"/>
    <cellStyle name="s_pearl_wacc_FM_dummyV4" xfId="4269"/>
    <cellStyle name="s_pearl_wacc_lalur" xfId="4270"/>
    <cellStyle name="s_pearl_wacc_Leasing_V3" xfId="4271"/>
    <cellStyle name="s_pearl_wacc_MODELO PDP III" xfId="4272"/>
    <cellStyle name="s_pearl_wacc_ORÇ_2009" xfId="4273"/>
    <cellStyle name="s_pearl_wacc_Pasta2" xfId="4274"/>
    <cellStyle name="s_pearl_wacc_Q2 pipeline" xfId="4275"/>
    <cellStyle name="s_pearl_wacc_Q2 pipeline 2" xfId="8412"/>
    <cellStyle name="s_pearl_wacc_Q2 pipeline_Cópia de Modelo - Fluxo de Caixa Orcamento 09052009_V36_3" xfId="4276"/>
    <cellStyle name="s_pearl_wacc_Q2 pipeline_Cópia de Modelo - Fluxo de Caixa Orcamento 09052009_V36_3 2" xfId="8413"/>
    <cellStyle name="s_pearl_wacc_Q2 pipeline_Fluxo de Caixa Orcamento FINAL_13052009" xfId="4277"/>
    <cellStyle name="s_pearl_wacc_Q2 pipeline_Fluxo de Caixa Orcamento FINAL_13052009 2" xfId="8414"/>
    <cellStyle name="s_pearl_wacc_Q2 pipeline_FM_dummyV4" xfId="4278"/>
    <cellStyle name="s_pearl_wacc_Q2 pipeline_lalur" xfId="4279"/>
    <cellStyle name="s_pearl_wacc_Q2 pipeline_Leasing_V3" xfId="4280"/>
    <cellStyle name="s_pearl_wacc_Q2 pipeline_MODELO PDP III" xfId="4281"/>
    <cellStyle name="s_pearl_wacc_Q2 pipeline_ORÇ_2009" xfId="4282"/>
    <cellStyle name="s_pearl_wacc_Q2 pipeline_ORÇ_2009 2" xfId="8415"/>
    <cellStyle name="s_pearl_wacc_Q2 pipeline_Pasta2" xfId="4283"/>
    <cellStyle name="s_pearl_wacc_Q2 pipeline_Pasta2 2" xfId="8416"/>
    <cellStyle name="s_PFMA Cap" xfId="4284"/>
    <cellStyle name="s_PFMA Cap_1" xfId="4285"/>
    <cellStyle name="s_PFMA Cap_1_Comparativo VP FIN v1_So 2008" xfId="8417"/>
    <cellStyle name="s_PFMA Cap_1_Comparativo VP MKT 2008 v1_So 2008" xfId="8418"/>
    <cellStyle name="s_PFMA Cap_1_Comparativo VP TEC 2008 v1_So 2008" xfId="8419"/>
    <cellStyle name="s_PFMA Cap_1_Comparativo VP TEC 2008_Luiz Sergio" xfId="8420"/>
    <cellStyle name="s_PFMA Cap_1_Cópia de Modelo - Fluxo de Caixa Orcamento 09052009_V36_3" xfId="4286"/>
    <cellStyle name="s_PFMA Cap_1_Fluxo de Caixa Orcamento FINAL_13052009" xfId="4287"/>
    <cellStyle name="s_PFMA Cap_1_FM_dummyV4" xfId="4288"/>
    <cellStyle name="s_PFMA Cap_1_lalur" xfId="4289"/>
    <cellStyle name="s_PFMA Cap_1_Leasing_V3" xfId="4290"/>
    <cellStyle name="s_PFMA Cap_1_Mary911" xfId="4291"/>
    <cellStyle name="s_PFMA Cap_1_Mary911_Comparativo VP FIN v1_So 2008" xfId="8421"/>
    <cellStyle name="s_PFMA Cap_1_Mary911_Comparativo VP MKT 2008 v1_So 2008" xfId="8422"/>
    <cellStyle name="s_PFMA Cap_1_Mary911_Comparativo VP TEC 2008 v1_So 2008" xfId="8423"/>
    <cellStyle name="s_PFMA Cap_1_Mary911_Comparativo VP TEC 2008_Luiz Sergio" xfId="8424"/>
    <cellStyle name="s_PFMA Cap_1_Mary911_Cópia de Modelo - Fluxo de Caixa Orcamento 09052009_V36_3" xfId="4292"/>
    <cellStyle name="s_PFMA Cap_1_Mary911_Fluxo de Caixa Orcamento FINAL_13052009" xfId="4293"/>
    <cellStyle name="s_PFMA Cap_1_Mary911_FM_dummyV4" xfId="4294"/>
    <cellStyle name="s_PFMA Cap_1_Mary911_lalur" xfId="4295"/>
    <cellStyle name="s_PFMA Cap_1_Mary911_Leasing_V3" xfId="4296"/>
    <cellStyle name="s_PFMA Cap_1_Mary911_MODELO PDP III" xfId="4297"/>
    <cellStyle name="s_PFMA Cap_1_Mary911_ORÇ_2009" xfId="4298"/>
    <cellStyle name="s_PFMA Cap_1_Mary911_Pasta2" xfId="4299"/>
    <cellStyle name="s_PFMA Cap_1_MODELO PDP III" xfId="4300"/>
    <cellStyle name="s_PFMA Cap_1_mona0915a" xfId="4301"/>
    <cellStyle name="s_PFMA Cap_1_mona0915a_Comparativo VP FIN v1_So 2008" xfId="8425"/>
    <cellStyle name="s_PFMA Cap_1_mona0915a_Comparativo VP MKT 2008 v1_So 2008" xfId="8426"/>
    <cellStyle name="s_PFMA Cap_1_mona0915a_Comparativo VP TEC 2008 v1_So 2008" xfId="8427"/>
    <cellStyle name="s_PFMA Cap_1_mona0915a_Comparativo VP TEC 2008_Luiz Sergio" xfId="8428"/>
    <cellStyle name="s_PFMA Cap_1_mona0915a_Cópia de Modelo - Fluxo de Caixa Orcamento 09052009_V36_3" xfId="4302"/>
    <cellStyle name="s_PFMA Cap_1_mona0915a_Fluxo de Caixa Orcamento FINAL_13052009" xfId="4303"/>
    <cellStyle name="s_PFMA Cap_1_mona0915a_FM_dummyV4" xfId="4304"/>
    <cellStyle name="s_PFMA Cap_1_mona0915a_lalur" xfId="4305"/>
    <cellStyle name="s_PFMA Cap_1_mona0915a_Leasing_V3" xfId="4306"/>
    <cellStyle name="s_PFMA Cap_1_mona0915a_MODELO PDP III" xfId="4307"/>
    <cellStyle name="s_PFMA Cap_1_mona0915a_ORÇ_2009" xfId="4308"/>
    <cellStyle name="s_PFMA Cap_1_mona0915a_Pasta2" xfId="4309"/>
    <cellStyle name="s_PFMA Cap_1_mona0915b" xfId="4310"/>
    <cellStyle name="s_PFMA Cap_1_mona0915b_Comparativo VP FIN v1_So 2008" xfId="8429"/>
    <cellStyle name="s_PFMA Cap_1_mona0915b_Comparativo VP MKT 2008 v1_So 2008" xfId="8430"/>
    <cellStyle name="s_PFMA Cap_1_mona0915b_Comparativo VP TEC 2008 v1_So 2008" xfId="8431"/>
    <cellStyle name="s_PFMA Cap_1_mona0915b_Comparativo VP TEC 2008_Luiz Sergio" xfId="8432"/>
    <cellStyle name="s_PFMA Cap_1_mona0915b_Cópia de Modelo - Fluxo de Caixa Orcamento 09052009_V36_3" xfId="4311"/>
    <cellStyle name="s_PFMA Cap_1_mona0915b_Fluxo de Caixa Orcamento FINAL_13052009" xfId="4312"/>
    <cellStyle name="s_PFMA Cap_1_mona0915b_FM_dummyV4" xfId="4313"/>
    <cellStyle name="s_PFMA Cap_1_mona0915b_lalur" xfId="4314"/>
    <cellStyle name="s_PFMA Cap_1_mona0915b_Leasing_V3" xfId="4315"/>
    <cellStyle name="s_PFMA Cap_1_mona0915b_MODELO PDP III" xfId="4316"/>
    <cellStyle name="s_PFMA Cap_1_mona0915b_ORÇ_2009" xfId="4317"/>
    <cellStyle name="s_PFMA Cap_1_mona0915b_Pasta2" xfId="4318"/>
    <cellStyle name="s_PFMA Cap_1_ORÇ_2009" xfId="4319"/>
    <cellStyle name="s_PFMA Cap_1_Pasta2" xfId="4320"/>
    <cellStyle name="s_PFMA Cap_2" xfId="4321"/>
    <cellStyle name="s_PFMA Cap_2_Comparativo VP FIN v1_So 2008" xfId="8433"/>
    <cellStyle name="s_PFMA Cap_2_Comparativo VP MKT 2008 v1_So 2008" xfId="8434"/>
    <cellStyle name="s_PFMA Cap_2_Comparativo VP TEC 2008 v1_So 2008" xfId="8435"/>
    <cellStyle name="s_PFMA Cap_2_Comparativo VP TEC 2008_Luiz Sergio" xfId="8436"/>
    <cellStyle name="s_PFMA Cap_2_Cópia de Modelo - Fluxo de Caixa Orcamento 09052009_V36_3" xfId="4322"/>
    <cellStyle name="s_PFMA Cap_2_Fluxo de Caixa Orcamento FINAL_13052009" xfId="4323"/>
    <cellStyle name="s_PFMA Cap_2_FM_dummyV4" xfId="4324"/>
    <cellStyle name="s_PFMA Cap_2_lalur" xfId="4325"/>
    <cellStyle name="s_PFMA Cap_2_Leasing_V3" xfId="4326"/>
    <cellStyle name="s_PFMA Cap_2_MODELO PDP III" xfId="4327"/>
    <cellStyle name="s_PFMA Cap_2_ORÇ_2009" xfId="4328"/>
    <cellStyle name="s_PFMA Cap_2_Pasta2" xfId="4329"/>
    <cellStyle name="s_PFMA Cap_Comparativo VP FIN v1_So 2008" xfId="8437"/>
    <cellStyle name="s_PFMA Cap_Comparativo VP MKT 2008 v1_So 2008" xfId="8438"/>
    <cellStyle name="s_PFMA Cap_Comparativo VP TEC 2008 v1_So 2008" xfId="8439"/>
    <cellStyle name="s_PFMA Cap_Comparativo VP TEC 2008_Luiz Sergio" xfId="8440"/>
    <cellStyle name="s_PFMA Cap_Cópia de Modelo - Fluxo de Caixa Orcamento 09052009_V36_3" xfId="4330"/>
    <cellStyle name="s_PFMA Cap_Fluxo de Caixa Orcamento FINAL_13052009" xfId="4331"/>
    <cellStyle name="s_PFMA Cap_FM_dummyV4" xfId="4332"/>
    <cellStyle name="s_PFMA Cap_lalur" xfId="4333"/>
    <cellStyle name="s_PFMA Cap_Leasing_V3" xfId="4334"/>
    <cellStyle name="s_PFMA Cap_Mary911" xfId="4335"/>
    <cellStyle name="s_PFMA Cap_Mary911_Comparativo VP FIN v1_So 2008" xfId="8441"/>
    <cellStyle name="s_PFMA Cap_Mary911_Comparativo VP MKT 2008 v1_So 2008" xfId="8442"/>
    <cellStyle name="s_PFMA Cap_Mary911_Comparativo VP TEC 2008 v1_So 2008" xfId="8443"/>
    <cellStyle name="s_PFMA Cap_Mary911_Comparativo VP TEC 2008_Luiz Sergio" xfId="8444"/>
    <cellStyle name="s_PFMA Cap_Mary911_Cópia de Modelo - Fluxo de Caixa Orcamento 09052009_V36_3" xfId="4336"/>
    <cellStyle name="s_PFMA Cap_Mary911_Fluxo de Caixa Orcamento FINAL_13052009" xfId="4337"/>
    <cellStyle name="s_PFMA Cap_Mary911_FM_dummyV4" xfId="4338"/>
    <cellStyle name="s_PFMA Cap_Mary911_lalur" xfId="4339"/>
    <cellStyle name="s_PFMA Cap_Mary911_Leasing_V3" xfId="4340"/>
    <cellStyle name="s_PFMA Cap_Mary911_MODELO PDP III" xfId="4341"/>
    <cellStyle name="s_PFMA Cap_Mary911_ORÇ_2009" xfId="4342"/>
    <cellStyle name="s_PFMA Cap_Mary911_Pasta2" xfId="4343"/>
    <cellStyle name="s_PFMA Cap_MODELO PDP III" xfId="4344"/>
    <cellStyle name="s_PFMA Cap_mona0915a" xfId="4345"/>
    <cellStyle name="s_PFMA Cap_mona0915a_Comparativo VP FIN v1_So 2008" xfId="8445"/>
    <cellStyle name="s_PFMA Cap_mona0915a_Comparativo VP MKT 2008 v1_So 2008" xfId="8446"/>
    <cellStyle name="s_PFMA Cap_mona0915a_Comparativo VP TEC 2008 v1_So 2008" xfId="8447"/>
    <cellStyle name="s_PFMA Cap_mona0915a_Comparativo VP TEC 2008_Luiz Sergio" xfId="8448"/>
    <cellStyle name="s_PFMA Cap_mona0915a_Cópia de Modelo - Fluxo de Caixa Orcamento 09052009_V36_3" xfId="4346"/>
    <cellStyle name="s_PFMA Cap_mona0915a_Fluxo de Caixa Orcamento FINAL_13052009" xfId="4347"/>
    <cellStyle name="s_PFMA Cap_mona0915a_FM_dummyV4" xfId="4348"/>
    <cellStyle name="s_PFMA Cap_mona0915a_lalur" xfId="4349"/>
    <cellStyle name="s_PFMA Cap_mona0915a_Leasing_V3" xfId="4350"/>
    <cellStyle name="s_PFMA Cap_mona0915a_MODELO PDP III" xfId="4351"/>
    <cellStyle name="s_PFMA Cap_mona0915a_ORÇ_2009" xfId="4352"/>
    <cellStyle name="s_PFMA Cap_mona0915a_Pasta2" xfId="4353"/>
    <cellStyle name="s_PFMA Cap_mona0915b" xfId="4354"/>
    <cellStyle name="s_PFMA Cap_mona0915b_Comparativo VP FIN v1_So 2008" xfId="8449"/>
    <cellStyle name="s_PFMA Cap_mona0915b_Comparativo VP MKT 2008 v1_So 2008" xfId="8450"/>
    <cellStyle name="s_PFMA Cap_mona0915b_Comparativo VP TEC 2008 v1_So 2008" xfId="8451"/>
    <cellStyle name="s_PFMA Cap_mona0915b_Comparativo VP TEC 2008_Luiz Sergio" xfId="8452"/>
    <cellStyle name="s_PFMA Cap_mona0915b_Cópia de Modelo - Fluxo de Caixa Orcamento 09052009_V36_3" xfId="4355"/>
    <cellStyle name="s_PFMA Cap_mona0915b_Fluxo de Caixa Orcamento FINAL_13052009" xfId="4356"/>
    <cellStyle name="s_PFMA Cap_mona0915b_FM_dummyV4" xfId="4357"/>
    <cellStyle name="s_PFMA Cap_mona0915b_lalur" xfId="4358"/>
    <cellStyle name="s_PFMA Cap_mona0915b_Leasing_V3" xfId="4359"/>
    <cellStyle name="s_PFMA Cap_mona0915b_MODELO PDP III" xfId="4360"/>
    <cellStyle name="s_PFMA Cap_mona0915b_ORÇ_2009" xfId="4361"/>
    <cellStyle name="s_PFMA Cap_mona0915b_Pasta2" xfId="4362"/>
    <cellStyle name="s_PFMA Cap_ORÇ_2009" xfId="4363"/>
    <cellStyle name="s_PFMA Cap_Pasta2" xfId="4364"/>
    <cellStyle name="s_PFMA Credit" xfId="4365"/>
    <cellStyle name="s_PFMA Credit (2)" xfId="4366"/>
    <cellStyle name="s_PFMA Credit (2)_1" xfId="4367"/>
    <cellStyle name="s_PFMA Credit (2)_1_Comparativo VP FIN v1_So 2008" xfId="8453"/>
    <cellStyle name="s_PFMA Credit (2)_1_Comparativo VP MKT 2008 v1_So 2008" xfId="8454"/>
    <cellStyle name="s_PFMA Credit (2)_1_Comparativo VP TEC 2008 v1_So 2008" xfId="8455"/>
    <cellStyle name="s_PFMA Credit (2)_1_Comparativo VP TEC 2008_Luiz Sergio" xfId="8456"/>
    <cellStyle name="s_PFMA Credit (2)_1_Cópia de Modelo - Fluxo de Caixa Orcamento 09052009_V36_3" xfId="4368"/>
    <cellStyle name="s_PFMA Credit (2)_1_Fluxo de Caixa Orcamento FINAL_13052009" xfId="4369"/>
    <cellStyle name="s_PFMA Credit (2)_1_FM_dummyV4" xfId="4370"/>
    <cellStyle name="s_PFMA Credit (2)_1_lalur" xfId="4371"/>
    <cellStyle name="s_PFMA Credit (2)_1_Leasing_V3" xfId="4372"/>
    <cellStyle name="s_PFMA Credit (2)_1_MODELO PDP III" xfId="4373"/>
    <cellStyle name="s_PFMA Credit (2)_1_ORÇ_2009" xfId="4374"/>
    <cellStyle name="s_PFMA Credit (2)_1_Pasta2" xfId="4375"/>
    <cellStyle name="s_PFMA Credit (2)_Comparativo VP FIN v1_So 2008" xfId="8457"/>
    <cellStyle name="s_PFMA Credit (2)_Comparativo VP MKT 2008 v1_So 2008" xfId="8458"/>
    <cellStyle name="s_PFMA Credit (2)_Comparativo VP TEC 2008 v1_So 2008" xfId="8459"/>
    <cellStyle name="s_PFMA Credit (2)_Comparativo VP TEC 2008_Luiz Sergio" xfId="8460"/>
    <cellStyle name="s_PFMA Credit (2)_Cópia de Modelo - Fluxo de Caixa Orcamento 09052009_V36_3" xfId="4376"/>
    <cellStyle name="s_PFMA Credit (2)_Fluxo de Caixa Orcamento FINAL_13052009" xfId="4377"/>
    <cellStyle name="s_PFMA Credit (2)_FM_dummyV4" xfId="4378"/>
    <cellStyle name="s_PFMA Credit (2)_lalur" xfId="4379"/>
    <cellStyle name="s_PFMA Credit (2)_Leasing_V3" xfId="4380"/>
    <cellStyle name="s_PFMA Credit (2)_MODELO PDP III" xfId="4381"/>
    <cellStyle name="s_PFMA Credit (2)_ORÇ_2009" xfId="4382"/>
    <cellStyle name="s_PFMA Credit (2)_Pasta2" xfId="4383"/>
    <cellStyle name="s_PFMA Credit (2)_PFMA Cap" xfId="4384"/>
    <cellStyle name="s_PFMA Credit (2)_PFMA Cap_Comparativo VP FIN v1_So 2008" xfId="8461"/>
    <cellStyle name="s_PFMA Credit (2)_PFMA Cap_Comparativo VP MKT 2008 v1_So 2008" xfId="8462"/>
    <cellStyle name="s_PFMA Credit (2)_PFMA Cap_Comparativo VP TEC 2008 v1_So 2008" xfId="8463"/>
    <cellStyle name="s_PFMA Credit (2)_PFMA Cap_Comparativo VP TEC 2008_Luiz Sergio" xfId="8464"/>
    <cellStyle name="s_PFMA Credit (2)_PFMA Cap_Cópia de Modelo - Fluxo de Caixa Orcamento 09052009_V36_3" xfId="4385"/>
    <cellStyle name="s_PFMA Credit (2)_PFMA Cap_Fluxo de Caixa Orcamento FINAL_13052009" xfId="4386"/>
    <cellStyle name="s_PFMA Credit (2)_PFMA Cap_FM_dummyV4" xfId="4387"/>
    <cellStyle name="s_PFMA Credit (2)_PFMA Cap_lalur" xfId="4388"/>
    <cellStyle name="s_PFMA Credit (2)_PFMA Cap_Leasing_V3" xfId="4389"/>
    <cellStyle name="s_PFMA Credit (2)_PFMA Cap_MODELO PDP III" xfId="4390"/>
    <cellStyle name="s_PFMA Credit (2)_PFMA Cap_ORÇ_2009" xfId="4391"/>
    <cellStyle name="s_PFMA Credit (2)_PFMA Cap_Pasta2" xfId="4392"/>
    <cellStyle name="s_PFMA Credit_1" xfId="4393"/>
    <cellStyle name="s_PFMA Credit_1_Comparativo VP FIN v1_So 2008" xfId="8465"/>
    <cellStyle name="s_PFMA Credit_1_Comparativo VP MKT 2008 v1_So 2008" xfId="8466"/>
    <cellStyle name="s_PFMA Credit_1_Comparativo VP TEC 2008 v1_So 2008" xfId="8467"/>
    <cellStyle name="s_PFMA Credit_1_Comparativo VP TEC 2008_Luiz Sergio" xfId="8468"/>
    <cellStyle name="s_PFMA Credit_1_Cópia de Modelo - Fluxo de Caixa Orcamento 09052009_V36_3" xfId="4394"/>
    <cellStyle name="s_PFMA Credit_1_Fluxo de Caixa Orcamento FINAL_13052009" xfId="4395"/>
    <cellStyle name="s_PFMA Credit_1_FM_dummyV4" xfId="4396"/>
    <cellStyle name="s_PFMA Credit_1_lalur" xfId="4397"/>
    <cellStyle name="s_PFMA Credit_1_Leasing_V3" xfId="4398"/>
    <cellStyle name="s_PFMA Credit_1_MODELO PDP III" xfId="4399"/>
    <cellStyle name="s_PFMA Credit_1_ORÇ_2009" xfId="4400"/>
    <cellStyle name="s_PFMA Credit_1_Pasta2" xfId="4401"/>
    <cellStyle name="s_PFMA Credit_2" xfId="4402"/>
    <cellStyle name="s_PFMA Credit_2_Comparativo VP FIN v1_So 2008" xfId="8469"/>
    <cellStyle name="s_PFMA Credit_2_Comparativo VP MKT 2008 v1_So 2008" xfId="8470"/>
    <cellStyle name="s_PFMA Credit_2_Comparativo VP TEC 2008 v1_So 2008" xfId="8471"/>
    <cellStyle name="s_PFMA Credit_2_Comparativo VP TEC 2008_Luiz Sergio" xfId="8472"/>
    <cellStyle name="s_PFMA Credit_2_Cópia de Modelo - Fluxo de Caixa Orcamento 09052009_V36_3" xfId="4403"/>
    <cellStyle name="s_PFMA Credit_2_Fluxo de Caixa Orcamento FINAL_13052009" xfId="4404"/>
    <cellStyle name="s_PFMA Credit_2_FM_dummyV4" xfId="4405"/>
    <cellStyle name="s_PFMA Credit_2_lalur" xfId="4406"/>
    <cellStyle name="s_PFMA Credit_2_Leasing_V3" xfId="4407"/>
    <cellStyle name="s_PFMA Credit_2_MODELO PDP III" xfId="4408"/>
    <cellStyle name="s_PFMA Credit_2_ORÇ_2009" xfId="4409"/>
    <cellStyle name="s_PFMA Credit_2_Pasta2" xfId="4410"/>
    <cellStyle name="s_PFMA Credit_Comparativo VP FIN v1_So 2008" xfId="8473"/>
    <cellStyle name="s_PFMA Credit_Comparativo VP MKT 2008 v1_So 2008" xfId="8474"/>
    <cellStyle name="s_PFMA Credit_Comparativo VP TEC 2008 v1_So 2008" xfId="8475"/>
    <cellStyle name="s_PFMA Credit_Comparativo VP TEC 2008_Luiz Sergio" xfId="8476"/>
    <cellStyle name="s_PFMA Credit_Cópia de Modelo - Fluxo de Caixa Orcamento 09052009_V36_3" xfId="4411"/>
    <cellStyle name="s_PFMA Credit_Fluxo de Caixa Orcamento FINAL_13052009" xfId="4412"/>
    <cellStyle name="s_PFMA Credit_FM_dummyV4" xfId="4413"/>
    <cellStyle name="s_PFMA Credit_lalur" xfId="4414"/>
    <cellStyle name="s_PFMA Credit_Leasing_V3" xfId="4415"/>
    <cellStyle name="s_PFMA Credit_MODELO PDP III" xfId="4416"/>
    <cellStyle name="s_PFMA Credit_ORÇ_2009" xfId="4417"/>
    <cellStyle name="s_PFMA Credit_Pasta2" xfId="4418"/>
    <cellStyle name="s_PFMA Fin Sum" xfId="4419"/>
    <cellStyle name="s_PFMA Fin Sum_1" xfId="4420"/>
    <cellStyle name="s_PFMA Fin Sum_1_Comparativo VP FIN v1_So 2008" xfId="8477"/>
    <cellStyle name="s_PFMA Fin Sum_1_Comparativo VP MKT 2008 v1_So 2008" xfId="8478"/>
    <cellStyle name="s_PFMA Fin Sum_1_Comparativo VP TEC 2008 v1_So 2008" xfId="8479"/>
    <cellStyle name="s_PFMA Fin Sum_1_Comparativo VP TEC 2008_Luiz Sergio" xfId="8480"/>
    <cellStyle name="s_PFMA Fin Sum_1_Cópia de Modelo - Fluxo de Caixa Orcamento 09052009_V36_3" xfId="4421"/>
    <cellStyle name="s_PFMA Fin Sum_1_Fluxo de Caixa Orcamento FINAL_13052009" xfId="4422"/>
    <cellStyle name="s_PFMA Fin Sum_1_FM_dummyV4" xfId="4423"/>
    <cellStyle name="s_PFMA Fin Sum_1_lalur" xfId="4424"/>
    <cellStyle name="s_PFMA Fin Sum_1_Leasing_V3" xfId="4425"/>
    <cellStyle name="s_PFMA Fin Sum_1_MODELO PDP III" xfId="4426"/>
    <cellStyle name="s_PFMA Fin Sum_1_ORÇ_2009" xfId="4427"/>
    <cellStyle name="s_PFMA Fin Sum_1_Pasta2" xfId="4428"/>
    <cellStyle name="s_PFMA Fin Sum_2" xfId="4429"/>
    <cellStyle name="s_PFMA Fin Sum_2_Comparativo VP FIN v1_So 2008" xfId="8481"/>
    <cellStyle name="s_PFMA Fin Sum_2_Comparativo VP MKT 2008 v1_So 2008" xfId="8482"/>
    <cellStyle name="s_PFMA Fin Sum_2_Comparativo VP TEC 2008 v1_So 2008" xfId="8483"/>
    <cellStyle name="s_PFMA Fin Sum_2_Comparativo VP TEC 2008_Luiz Sergio" xfId="8484"/>
    <cellStyle name="s_PFMA Fin Sum_2_Cópia de Modelo - Fluxo de Caixa Orcamento 09052009_V36_3" xfId="4430"/>
    <cellStyle name="s_PFMA Fin Sum_2_Fluxo de Caixa Orcamento FINAL_13052009" xfId="4431"/>
    <cellStyle name="s_PFMA Fin Sum_2_FM_dummyV4" xfId="4432"/>
    <cellStyle name="s_PFMA Fin Sum_2_lalur" xfId="4433"/>
    <cellStyle name="s_PFMA Fin Sum_2_Leasing_V3" xfId="4434"/>
    <cellStyle name="s_PFMA Fin Sum_2_MODELO PDP III" xfId="4435"/>
    <cellStyle name="s_PFMA Fin Sum_2_ORÇ_2009" xfId="4436"/>
    <cellStyle name="s_PFMA Fin Sum_2_Pasta2" xfId="4437"/>
    <cellStyle name="s_PFMA Fin Sum_Comparativo VP FIN v1_So 2008" xfId="8485"/>
    <cellStyle name="s_PFMA Fin Sum_Comparativo VP MKT 2008 v1_So 2008" xfId="8486"/>
    <cellStyle name="s_PFMA Fin Sum_Comparativo VP TEC 2008 v1_So 2008" xfId="8487"/>
    <cellStyle name="s_PFMA Fin Sum_Comparativo VP TEC 2008_Luiz Sergio" xfId="8488"/>
    <cellStyle name="s_PFMA Fin Sum_Cópia de Modelo - Fluxo de Caixa Orcamento 09052009_V36_3" xfId="4438"/>
    <cellStyle name="s_PFMA Fin Sum_Fluxo de Caixa Orcamento FINAL_13052009" xfId="4439"/>
    <cellStyle name="s_PFMA Fin Sum_FM_dummyV4" xfId="4440"/>
    <cellStyle name="s_PFMA Fin Sum_lalur" xfId="4441"/>
    <cellStyle name="s_PFMA Fin Sum_Leasing_V3" xfId="4442"/>
    <cellStyle name="s_PFMA Fin Sum_MODELO PDP III" xfId="4443"/>
    <cellStyle name="s_PFMA Fin Sum_ORÇ_2009" xfId="4444"/>
    <cellStyle name="s_PFMA Fin Sum_Pasta2" xfId="4445"/>
    <cellStyle name="s_PFMA Income (2)" xfId="4446"/>
    <cellStyle name="s_PFMA Income (2)_1" xfId="4447"/>
    <cellStyle name="s_PFMA Income (2)_1_Comparativo VP FIN v1_So 2008" xfId="8489"/>
    <cellStyle name="s_PFMA Income (2)_1_Comparativo VP MKT 2008 v1_So 2008" xfId="8490"/>
    <cellStyle name="s_PFMA Income (2)_1_Comparativo VP TEC 2008 v1_So 2008" xfId="8491"/>
    <cellStyle name="s_PFMA Income (2)_1_Comparativo VP TEC 2008_Luiz Sergio" xfId="8492"/>
    <cellStyle name="s_PFMA Income (2)_1_Cópia de Modelo - Fluxo de Caixa Orcamento 09052009_V36_3" xfId="4448"/>
    <cellStyle name="s_PFMA Income (2)_1_Fluxo de Caixa Orcamento FINAL_13052009" xfId="4449"/>
    <cellStyle name="s_PFMA Income (2)_1_FM_dummyV4" xfId="4450"/>
    <cellStyle name="s_PFMA Income (2)_1_lalur" xfId="4451"/>
    <cellStyle name="s_PFMA Income (2)_1_Leasing_V3" xfId="4452"/>
    <cellStyle name="s_PFMA Income (2)_1_MODELO PDP III" xfId="4453"/>
    <cellStyle name="s_PFMA Income (2)_1_ORÇ_2009" xfId="4454"/>
    <cellStyle name="s_PFMA Income (2)_1_Pasta2" xfId="4455"/>
    <cellStyle name="s_PFMA Income (2)_2" xfId="4456"/>
    <cellStyle name="s_PFMA Income (2)_2_Celtic DCF" xfId="4457"/>
    <cellStyle name="s_PFMA Income (2)_2_Celtic DCF Inputs" xfId="4458"/>
    <cellStyle name="s_PFMA Income (2)_2_Celtic DCF Inputs_Comparativo VP FIN v1_So 2008" xfId="8493"/>
    <cellStyle name="s_PFMA Income (2)_2_Celtic DCF Inputs_Comparativo VP MKT 2008 v1_So 2008" xfId="8494"/>
    <cellStyle name="s_PFMA Income (2)_2_Celtic DCF Inputs_Comparativo VP TEC 2008 v1_So 2008" xfId="8495"/>
    <cellStyle name="s_PFMA Income (2)_2_Celtic DCF Inputs_Comparativo VP TEC 2008_Luiz Sergio" xfId="8496"/>
    <cellStyle name="s_PFMA Income (2)_2_Celtic DCF Inputs_Cópia de Modelo - Fluxo de Caixa Orcamento 09052009_V36_3" xfId="4459"/>
    <cellStyle name="s_PFMA Income (2)_2_Celtic DCF Inputs_Fluxo de Caixa Orcamento FINAL_13052009" xfId="4460"/>
    <cellStyle name="s_PFMA Income (2)_2_Celtic DCF Inputs_FM_dummyV4" xfId="4461"/>
    <cellStyle name="s_PFMA Income (2)_2_Celtic DCF Inputs_lalur" xfId="4462"/>
    <cellStyle name="s_PFMA Income (2)_2_Celtic DCF Inputs_Leasing_V3" xfId="4463"/>
    <cellStyle name="s_PFMA Income (2)_2_Celtic DCF Inputs_MODELO PDP III" xfId="4464"/>
    <cellStyle name="s_PFMA Income (2)_2_Celtic DCF Inputs_ORÇ_2009" xfId="4465"/>
    <cellStyle name="s_PFMA Income (2)_2_Celtic DCF Inputs_Pasta2" xfId="4466"/>
    <cellStyle name="s_PFMA Income (2)_2_Celtic DCF_Comparativo VP FIN v1_So 2008" xfId="8497"/>
    <cellStyle name="s_PFMA Income (2)_2_Celtic DCF_Comparativo VP MKT 2008 v1_So 2008" xfId="8498"/>
    <cellStyle name="s_PFMA Income (2)_2_Celtic DCF_Comparativo VP TEC 2008 v1_So 2008" xfId="8499"/>
    <cellStyle name="s_PFMA Income (2)_2_Celtic DCF_Comparativo VP TEC 2008_Luiz Sergio" xfId="8500"/>
    <cellStyle name="s_PFMA Income (2)_2_Celtic DCF_Cópia de Modelo - Fluxo de Caixa Orcamento 09052009_V36_3" xfId="4467"/>
    <cellStyle name="s_PFMA Income (2)_2_Celtic DCF_Fluxo de Caixa Orcamento FINAL_13052009" xfId="4468"/>
    <cellStyle name="s_PFMA Income (2)_2_Celtic DCF_FM_dummyV4" xfId="4469"/>
    <cellStyle name="s_PFMA Income (2)_2_Celtic DCF_lalur" xfId="4470"/>
    <cellStyle name="s_PFMA Income (2)_2_Celtic DCF_Leasing_V3" xfId="4471"/>
    <cellStyle name="s_PFMA Income (2)_2_Celtic DCF_MODELO PDP III" xfId="4472"/>
    <cellStyle name="s_PFMA Income (2)_2_Celtic DCF_ORÇ_2009" xfId="4473"/>
    <cellStyle name="s_PFMA Income (2)_2_Celtic DCF_Pasta2" xfId="4474"/>
    <cellStyle name="s_PFMA Income (2)_2_Comparativo VP FIN v1_So 2008" xfId="8501"/>
    <cellStyle name="s_PFMA Income (2)_2_Comparativo VP MKT 2008 v1_So 2008" xfId="8502"/>
    <cellStyle name="s_PFMA Income (2)_2_Comparativo VP TEC 2008 v1_So 2008" xfId="8503"/>
    <cellStyle name="s_PFMA Income (2)_2_Comparativo VP TEC 2008_Luiz Sergio" xfId="8504"/>
    <cellStyle name="s_PFMA Income (2)_2_Cópia de Modelo - Fluxo de Caixa Orcamento 09052009_V36_3" xfId="4475"/>
    <cellStyle name="s_PFMA Income (2)_2_Fluxo de Caixa Orcamento FINAL_13052009" xfId="4476"/>
    <cellStyle name="s_PFMA Income (2)_2_FM_dummyV4" xfId="4477"/>
    <cellStyle name="s_PFMA Income (2)_2_lalur" xfId="4478"/>
    <cellStyle name="s_PFMA Income (2)_2_Leasing_V3" xfId="4479"/>
    <cellStyle name="s_PFMA Income (2)_2_MODELO PDP III" xfId="4480"/>
    <cellStyle name="s_PFMA Income (2)_2_ORÇ_2009" xfId="4481"/>
    <cellStyle name="s_PFMA Income (2)_2_Pasta2" xfId="4482"/>
    <cellStyle name="s_PFMA Income (2)_2_Valuation Summary" xfId="4483"/>
    <cellStyle name="s_PFMA Income (2)_2_Valuation Summary_Comparativo VP FIN v1_So 2008" xfId="8505"/>
    <cellStyle name="s_PFMA Income (2)_2_Valuation Summary_Comparativo VP MKT 2008 v1_So 2008" xfId="8506"/>
    <cellStyle name="s_PFMA Income (2)_2_Valuation Summary_Comparativo VP TEC 2008 v1_So 2008" xfId="8507"/>
    <cellStyle name="s_PFMA Income (2)_2_Valuation Summary_Comparativo VP TEC 2008_Luiz Sergio" xfId="8508"/>
    <cellStyle name="s_PFMA Income (2)_2_Valuation Summary_Cópia de Modelo - Fluxo de Caixa Orcamento 09052009_V36_3" xfId="4484"/>
    <cellStyle name="s_PFMA Income (2)_2_Valuation Summary_Fluxo de Caixa Orcamento FINAL_13052009" xfId="4485"/>
    <cellStyle name="s_PFMA Income (2)_2_Valuation Summary_FM_dummyV4" xfId="4486"/>
    <cellStyle name="s_PFMA Income (2)_2_Valuation Summary_lalur" xfId="4487"/>
    <cellStyle name="s_PFMA Income (2)_2_Valuation Summary_Leasing_V3" xfId="4488"/>
    <cellStyle name="s_PFMA Income (2)_2_Valuation Summary_MODELO PDP III" xfId="4489"/>
    <cellStyle name="s_PFMA Income (2)_2_Valuation Summary_ORÇ_2009" xfId="4490"/>
    <cellStyle name="s_PFMA Income (2)_2_Valuation Summary_Pasta2" xfId="4491"/>
    <cellStyle name="s_PFMA Income (2)_Comparativo VP FIN v1_So 2008" xfId="8509"/>
    <cellStyle name="s_PFMA Income (2)_Comparativo VP MKT 2008 v1_So 2008" xfId="8510"/>
    <cellStyle name="s_PFMA Income (2)_Comparativo VP TEC 2008 v1_So 2008" xfId="8511"/>
    <cellStyle name="s_PFMA Income (2)_Comparativo VP TEC 2008_Luiz Sergio" xfId="8512"/>
    <cellStyle name="s_PFMA Income (2)_Cópia de Modelo - Fluxo de Caixa Orcamento 09052009_V36_3" xfId="4492"/>
    <cellStyle name="s_PFMA Income (2)_Fluxo de Caixa Orcamento FINAL_13052009" xfId="4493"/>
    <cellStyle name="s_PFMA Income (2)_FM_dummyV4" xfId="4494"/>
    <cellStyle name="s_PFMA Income (2)_lalur" xfId="4495"/>
    <cellStyle name="s_PFMA Income (2)_Leasing_V3" xfId="4496"/>
    <cellStyle name="s_PFMA Income (2)_MODELO PDP III" xfId="4497"/>
    <cellStyle name="s_PFMA Income (2)_ORÇ_2009" xfId="4498"/>
    <cellStyle name="s_PFMA Income (2)_Pasta2" xfId="4499"/>
    <cellStyle name="s_PFMA Statements" xfId="4500"/>
    <cellStyle name="s_PFMA Statements_1" xfId="4501"/>
    <cellStyle name="s_PFMA Statements_1_Comparativo VP FIN v1_So 2008" xfId="8513"/>
    <cellStyle name="s_PFMA Statements_1_Comparativo VP MKT 2008 v1_So 2008" xfId="8514"/>
    <cellStyle name="s_PFMA Statements_1_Comparativo VP TEC 2008 v1_So 2008" xfId="8515"/>
    <cellStyle name="s_PFMA Statements_1_Comparativo VP TEC 2008_Luiz Sergio" xfId="8516"/>
    <cellStyle name="s_PFMA Statements_1_Cópia de Modelo - Fluxo de Caixa Orcamento 09052009_V36_3" xfId="4502"/>
    <cellStyle name="s_PFMA Statements_1_Fluxo de Caixa Orcamento FINAL_13052009" xfId="4503"/>
    <cellStyle name="s_PFMA Statements_1_FM_dummyV4" xfId="4504"/>
    <cellStyle name="s_PFMA Statements_1_lalur" xfId="4505"/>
    <cellStyle name="s_PFMA Statements_1_Leasing_V3" xfId="4506"/>
    <cellStyle name="s_PFMA Statements_1_MODELO PDP III" xfId="4507"/>
    <cellStyle name="s_PFMA Statements_1_ORÇ_2009" xfId="4508"/>
    <cellStyle name="s_PFMA Statements_1_Pasta2" xfId="4509"/>
    <cellStyle name="s_PFMA Statements_2" xfId="4510"/>
    <cellStyle name="s_PFMA Statements_2_Comparativo VP FIN v1_So 2008" xfId="8517"/>
    <cellStyle name="s_PFMA Statements_2_Comparativo VP MKT 2008 v1_So 2008" xfId="8518"/>
    <cellStyle name="s_PFMA Statements_2_Comparativo VP TEC 2008 v1_So 2008" xfId="8519"/>
    <cellStyle name="s_PFMA Statements_2_Comparativo VP TEC 2008_Luiz Sergio" xfId="8520"/>
    <cellStyle name="s_PFMA Statements_2_Cópia de Modelo - Fluxo de Caixa Orcamento 09052009_V36_3" xfId="4511"/>
    <cellStyle name="s_PFMA Statements_2_Fluxo de Caixa Orcamento FINAL_13052009" xfId="4512"/>
    <cellStyle name="s_PFMA Statements_2_FM_dummyV4" xfId="4513"/>
    <cellStyle name="s_PFMA Statements_2_lalur" xfId="4514"/>
    <cellStyle name="s_PFMA Statements_2_Leasing_V3" xfId="4515"/>
    <cellStyle name="s_PFMA Statements_2_MODELO PDP III" xfId="4516"/>
    <cellStyle name="s_PFMA Statements_2_ORÇ_2009" xfId="4517"/>
    <cellStyle name="s_PFMA Statements_2_Pasta2" xfId="4518"/>
    <cellStyle name="s_PFMA Statements_Comparativo VP FIN v1_So 2008" xfId="8521"/>
    <cellStyle name="s_PFMA Statements_Comparativo VP MKT 2008 v1_So 2008" xfId="8522"/>
    <cellStyle name="s_PFMA Statements_Comparativo VP TEC 2008 v1_So 2008" xfId="8523"/>
    <cellStyle name="s_PFMA Statements_Comparativo VP TEC 2008_Luiz Sergio" xfId="8524"/>
    <cellStyle name="s_PFMA Statements_Cópia de Modelo - Fluxo de Caixa Orcamento 09052009_V36_3" xfId="4519"/>
    <cellStyle name="s_PFMA Statements_Fluxo de Caixa Orcamento FINAL_13052009" xfId="4520"/>
    <cellStyle name="s_PFMA Statements_FM_dummyV4" xfId="4521"/>
    <cellStyle name="s_PFMA Statements_lalur" xfId="4522"/>
    <cellStyle name="s_PFMA Statements_Leasing_V3" xfId="4523"/>
    <cellStyle name="s_PFMA Statements_MODELO PDP III" xfId="4524"/>
    <cellStyle name="s_PFMA Statements_ORÇ_2009" xfId="4525"/>
    <cellStyle name="s_PFMA Statements_Pasta2" xfId="4526"/>
    <cellStyle name="s_Pippen (2)" xfId="4527"/>
    <cellStyle name="s_Pippen (2)_1" xfId="4528"/>
    <cellStyle name="s_Pippen (2)_1_Comparativo VP FIN v1_So 2008" xfId="8525"/>
    <cellStyle name="s_Pippen (2)_1_Comparativo VP MKT 2008 v1_So 2008" xfId="8526"/>
    <cellStyle name="s_Pippen (2)_1_Comparativo VP TEC 2008 v1_So 2008" xfId="8527"/>
    <cellStyle name="s_Pippen (2)_1_Comparativo VP TEC 2008_Luiz Sergio" xfId="8528"/>
    <cellStyle name="s_Pippen (2)_1_Cópia de Modelo - Fluxo de Caixa Orcamento 09052009_V36_3" xfId="4529"/>
    <cellStyle name="s_Pippen (2)_1_Fluxo de Caixa Orcamento FINAL_13052009" xfId="4530"/>
    <cellStyle name="s_Pippen (2)_1_FM_dummyV4" xfId="4531"/>
    <cellStyle name="s_Pippen (2)_1_lalur" xfId="4532"/>
    <cellStyle name="s_Pippen (2)_1_Leasing_V3" xfId="4533"/>
    <cellStyle name="s_Pippen (2)_1_MODELO PDP III" xfId="4534"/>
    <cellStyle name="s_Pippen (2)_1_ORÇ_2009" xfId="4535"/>
    <cellStyle name="s_Pippen (2)_1_Pasta2" xfId="4536"/>
    <cellStyle name="s_Pippen (2)_Comparativo VP FIN v1_So 2008" xfId="8529"/>
    <cellStyle name="s_Pippen (2)_Comparativo VP MKT 2008 v1_So 2008" xfId="8530"/>
    <cellStyle name="s_Pippen (2)_Comparativo VP TEC 2008 v1_So 2008" xfId="8531"/>
    <cellStyle name="s_Pippen (2)_Comparativo VP TEC 2008_Luiz Sergio" xfId="8532"/>
    <cellStyle name="s_Pippen (2)_Cópia de Modelo - Fluxo de Caixa Orcamento 09052009_V36_3" xfId="4537"/>
    <cellStyle name="s_Pippen (2)_Fluxo de Caixa Orcamento FINAL_13052009" xfId="4538"/>
    <cellStyle name="s_Pippen (2)_FM_dummyV4" xfId="4539"/>
    <cellStyle name="s_Pippen (2)_lalur" xfId="4540"/>
    <cellStyle name="s_Pippen (2)_Leasing_V3" xfId="4541"/>
    <cellStyle name="s_Pippen (2)_MODELO PDP III" xfId="4542"/>
    <cellStyle name="s_Pippen (2)_ORÇ_2009" xfId="4543"/>
    <cellStyle name="s_Pippen (2)_Pasta2" xfId="4544"/>
    <cellStyle name="s_Pippen Cases (2)" xfId="4545"/>
    <cellStyle name="s_Pippen Cases (2)_1" xfId="4546"/>
    <cellStyle name="s_Pippen Cases (2)_1_Comparativo VP FIN v1_So 2008" xfId="8533"/>
    <cellStyle name="s_Pippen Cases (2)_1_Comparativo VP MKT 2008 v1_So 2008" xfId="8534"/>
    <cellStyle name="s_Pippen Cases (2)_1_Comparativo VP TEC 2008 v1_So 2008" xfId="8535"/>
    <cellStyle name="s_Pippen Cases (2)_1_Comparativo VP TEC 2008_Luiz Sergio" xfId="8536"/>
    <cellStyle name="s_Pippen Cases (2)_1_Cópia de Modelo - Fluxo de Caixa Orcamento 09052009_V36_3" xfId="4547"/>
    <cellStyle name="s_Pippen Cases (2)_1_Fluxo de Caixa Orcamento FINAL_13052009" xfId="4548"/>
    <cellStyle name="s_Pippen Cases (2)_1_FM_dummyV4" xfId="4549"/>
    <cellStyle name="s_Pippen Cases (2)_1_lalur" xfId="4550"/>
    <cellStyle name="s_Pippen Cases (2)_1_Leasing_V3" xfId="4551"/>
    <cellStyle name="s_Pippen Cases (2)_1_MODELO PDP III" xfId="4552"/>
    <cellStyle name="s_Pippen Cases (2)_1_ORÇ_2009" xfId="4553"/>
    <cellStyle name="s_Pippen Cases (2)_1_Pasta2" xfId="4554"/>
    <cellStyle name="s_Pippen Cases (2)_Comparativo VP FIN v1_So 2008" xfId="8537"/>
    <cellStyle name="s_Pippen Cases (2)_Comparativo VP MKT 2008 v1_So 2008" xfId="8538"/>
    <cellStyle name="s_Pippen Cases (2)_Comparativo VP TEC 2008 v1_So 2008" xfId="8539"/>
    <cellStyle name="s_Pippen Cases (2)_Comparativo VP TEC 2008_Luiz Sergio" xfId="8540"/>
    <cellStyle name="s_Pippen Cases (2)_Cópia de Modelo - Fluxo de Caixa Orcamento 09052009_V36_3" xfId="4555"/>
    <cellStyle name="s_Pippen Cases (2)_Fluxo de Caixa Orcamento FINAL_13052009" xfId="4556"/>
    <cellStyle name="s_Pippen Cases (2)_FM_dummyV4" xfId="4557"/>
    <cellStyle name="s_Pippen Cases (2)_lalur" xfId="4558"/>
    <cellStyle name="s_Pippen Cases (2)_Leasing_V3" xfId="4559"/>
    <cellStyle name="s_Pippen Cases (2)_MODELO PDP III" xfId="4560"/>
    <cellStyle name="s_Pippen Cases (2)_ORÇ_2009" xfId="4561"/>
    <cellStyle name="s_Pippen Cases (2)_Pasta2" xfId="4562"/>
    <cellStyle name="s_Pippen ValMatrix (2)" xfId="4563"/>
    <cellStyle name="s_Pippen ValMatrix (2)_1" xfId="4564"/>
    <cellStyle name="s_Pippen ValMatrix (2)_1_Comparativo VP FIN v1_So 2008" xfId="8541"/>
    <cellStyle name="s_Pippen ValMatrix (2)_1_Comparativo VP MKT 2008 v1_So 2008" xfId="8542"/>
    <cellStyle name="s_Pippen ValMatrix (2)_1_Comparativo VP TEC 2008 v1_So 2008" xfId="8543"/>
    <cellStyle name="s_Pippen ValMatrix (2)_1_Comparativo VP TEC 2008_Luiz Sergio" xfId="8544"/>
    <cellStyle name="s_Pippen ValMatrix (2)_1_Cópia de Modelo - Fluxo de Caixa Orcamento 09052009_V36_3" xfId="4565"/>
    <cellStyle name="s_Pippen ValMatrix (2)_1_Fluxo de Caixa Orcamento FINAL_13052009" xfId="4566"/>
    <cellStyle name="s_Pippen ValMatrix (2)_1_FM_dummyV4" xfId="4567"/>
    <cellStyle name="s_Pippen ValMatrix (2)_1_lalur" xfId="4568"/>
    <cellStyle name="s_Pippen ValMatrix (2)_1_Leasing_V3" xfId="4569"/>
    <cellStyle name="s_Pippen ValMatrix (2)_1_MODELO PDP III" xfId="4570"/>
    <cellStyle name="s_Pippen ValMatrix (2)_1_ORÇ_2009" xfId="4571"/>
    <cellStyle name="s_Pippen ValMatrix (2)_1_Pasta2" xfId="4572"/>
    <cellStyle name="s_Pippen ValMatrix (2)_Comparativo VP FIN v1_So 2008" xfId="8545"/>
    <cellStyle name="s_Pippen ValMatrix (2)_Comparativo VP MKT 2008 v1_So 2008" xfId="8546"/>
    <cellStyle name="s_Pippen ValMatrix (2)_Comparativo VP TEC 2008 v1_So 2008" xfId="8547"/>
    <cellStyle name="s_Pippen ValMatrix (2)_Comparativo VP TEC 2008_Luiz Sergio" xfId="8548"/>
    <cellStyle name="s_Pippen ValMatrix (2)_Cópia de Modelo - Fluxo de Caixa Orcamento 09052009_V36_3" xfId="4573"/>
    <cellStyle name="s_Pippen ValMatrix (2)_Fluxo de Caixa Orcamento FINAL_13052009" xfId="4574"/>
    <cellStyle name="s_Pippen ValMatrix (2)_FM_dummyV4" xfId="4575"/>
    <cellStyle name="s_Pippen ValMatrix (2)_lalur" xfId="4576"/>
    <cellStyle name="s_Pippen ValMatrix (2)_Leasing_V3" xfId="4577"/>
    <cellStyle name="s_Pippen ValMatrix (2)_MODELO PDP III" xfId="4578"/>
    <cellStyle name="s_Pippen ValMatrix (2)_ORÇ_2009" xfId="4579"/>
    <cellStyle name="s_Pippen ValMatrix (2)_Pasta2" xfId="4580"/>
    <cellStyle name="s_PMAT (2)" xfId="4581"/>
    <cellStyle name="s_PMAT (2)_1" xfId="4582"/>
    <cellStyle name="s_PMAT (2)_1_Comparativo VP FIN v1_So 2008" xfId="8549"/>
    <cellStyle name="s_PMAT (2)_1_Comparativo VP MKT 2008 v1_So 2008" xfId="8550"/>
    <cellStyle name="s_PMAT (2)_1_Comparativo VP TEC 2008 v1_So 2008" xfId="8551"/>
    <cellStyle name="s_PMAT (2)_1_Comparativo VP TEC 2008_Luiz Sergio" xfId="8552"/>
    <cellStyle name="s_PMAT (2)_1_Cópia de Modelo - Fluxo de Caixa Orcamento 09052009_V36_3" xfId="4583"/>
    <cellStyle name="s_PMAT (2)_1_Fluxo de Caixa Orcamento FINAL_13052009" xfId="4584"/>
    <cellStyle name="s_PMAT (2)_1_FM_dummyV4" xfId="4585"/>
    <cellStyle name="s_PMAT (2)_1_lalur" xfId="4586"/>
    <cellStyle name="s_PMAT (2)_1_Leasing_V3" xfId="4587"/>
    <cellStyle name="s_PMAT (2)_1_MODELO PDP III" xfId="4588"/>
    <cellStyle name="s_PMAT (2)_1_ORÇ_2009" xfId="4589"/>
    <cellStyle name="s_PMAT (2)_1_Pasta2" xfId="4590"/>
    <cellStyle name="s_PMAT (2)_Celtic DCF" xfId="4591"/>
    <cellStyle name="s_PMAT (2)_Celtic DCF Inputs" xfId="4592"/>
    <cellStyle name="s_PMAT (2)_Celtic DCF Inputs_Comparativo VP FIN v1_So 2008" xfId="8553"/>
    <cellStyle name="s_PMAT (2)_Celtic DCF Inputs_Comparativo VP MKT 2008 v1_So 2008" xfId="8554"/>
    <cellStyle name="s_PMAT (2)_Celtic DCF Inputs_Comparativo VP TEC 2008 v1_So 2008" xfId="8555"/>
    <cellStyle name="s_PMAT (2)_Celtic DCF Inputs_Comparativo VP TEC 2008_Luiz Sergio" xfId="8556"/>
    <cellStyle name="s_PMAT (2)_Celtic DCF Inputs_Cópia de Modelo - Fluxo de Caixa Orcamento 09052009_V36_3" xfId="4593"/>
    <cellStyle name="s_PMAT (2)_Celtic DCF Inputs_Fluxo de Caixa Orcamento FINAL_13052009" xfId="4594"/>
    <cellStyle name="s_PMAT (2)_Celtic DCF Inputs_FM_dummyV4" xfId="4595"/>
    <cellStyle name="s_PMAT (2)_Celtic DCF Inputs_lalur" xfId="4596"/>
    <cellStyle name="s_PMAT (2)_Celtic DCF Inputs_Leasing_V3" xfId="4597"/>
    <cellStyle name="s_PMAT (2)_Celtic DCF Inputs_MODELO PDP III" xfId="4598"/>
    <cellStyle name="s_PMAT (2)_Celtic DCF Inputs_ORÇ_2009" xfId="4599"/>
    <cellStyle name="s_PMAT (2)_Celtic DCF Inputs_Pasta2" xfId="4600"/>
    <cellStyle name="s_PMAT (2)_Celtic DCF_Comparativo VP FIN v1_So 2008" xfId="8557"/>
    <cellStyle name="s_PMAT (2)_Celtic DCF_Comparativo VP MKT 2008 v1_So 2008" xfId="8558"/>
    <cellStyle name="s_PMAT (2)_Celtic DCF_Comparativo VP TEC 2008 v1_So 2008" xfId="8559"/>
    <cellStyle name="s_PMAT (2)_Celtic DCF_Comparativo VP TEC 2008_Luiz Sergio" xfId="8560"/>
    <cellStyle name="s_PMAT (2)_Celtic DCF_Cópia de Modelo - Fluxo de Caixa Orcamento 09052009_V36_3" xfId="4601"/>
    <cellStyle name="s_PMAT (2)_Celtic DCF_Fluxo de Caixa Orcamento FINAL_13052009" xfId="4602"/>
    <cellStyle name="s_PMAT (2)_Celtic DCF_FM_dummyV4" xfId="4603"/>
    <cellStyle name="s_PMAT (2)_Celtic DCF_lalur" xfId="4604"/>
    <cellStyle name="s_PMAT (2)_Celtic DCF_Leasing_V3" xfId="4605"/>
    <cellStyle name="s_PMAT (2)_Celtic DCF_MODELO PDP III" xfId="4606"/>
    <cellStyle name="s_PMAT (2)_Celtic DCF_ORÇ_2009" xfId="4607"/>
    <cellStyle name="s_PMAT (2)_Celtic DCF_Pasta2" xfId="4608"/>
    <cellStyle name="s_PMAT (2)_Comparativo VP FIN v1_So 2008" xfId="8561"/>
    <cellStyle name="s_PMAT (2)_Comparativo VP MKT 2008 v1_So 2008" xfId="8562"/>
    <cellStyle name="s_PMAT (2)_Comparativo VP TEC 2008 v1_So 2008" xfId="8563"/>
    <cellStyle name="s_PMAT (2)_Comparativo VP TEC 2008_Luiz Sergio" xfId="8564"/>
    <cellStyle name="s_PMAT (2)_Cópia de Modelo - Fluxo de Caixa Orcamento 09052009_V36_3" xfId="4609"/>
    <cellStyle name="s_PMAT (2)_Fluxo de Caixa Orcamento FINAL_13052009" xfId="4610"/>
    <cellStyle name="s_PMAT (2)_FM_dummyV4" xfId="4611"/>
    <cellStyle name="s_PMAT (2)_lalur" xfId="4612"/>
    <cellStyle name="s_PMAT (2)_Leasing_V3" xfId="4613"/>
    <cellStyle name="s_PMAT (2)_MODELO PDP III" xfId="4614"/>
    <cellStyle name="s_PMAT (2)_ORÇ_2009" xfId="4615"/>
    <cellStyle name="s_PMAT (2)_Pasta2" xfId="4616"/>
    <cellStyle name="s_PMAT (2)_Valuation Summary" xfId="4617"/>
    <cellStyle name="s_PMAT (2)_Valuation Summary_Comparativo VP FIN v1_So 2008" xfId="8565"/>
    <cellStyle name="s_PMAT (2)_Valuation Summary_Comparativo VP MKT 2008 v1_So 2008" xfId="8566"/>
    <cellStyle name="s_PMAT (2)_Valuation Summary_Comparativo VP TEC 2008 v1_So 2008" xfId="8567"/>
    <cellStyle name="s_PMAT (2)_Valuation Summary_Comparativo VP TEC 2008_Luiz Sergio" xfId="8568"/>
    <cellStyle name="s_PMAT (2)_Valuation Summary_Cópia de Modelo - Fluxo de Caixa Orcamento 09052009_V36_3" xfId="4618"/>
    <cellStyle name="s_PMAT (2)_Valuation Summary_Fluxo de Caixa Orcamento FINAL_13052009" xfId="4619"/>
    <cellStyle name="s_PMAT (2)_Valuation Summary_FM_dummyV4" xfId="4620"/>
    <cellStyle name="s_PMAT (2)_Valuation Summary_lalur" xfId="4621"/>
    <cellStyle name="s_PMAT (2)_Valuation Summary_Leasing_V3" xfId="4622"/>
    <cellStyle name="s_PMAT (2)_Valuation Summary_MODELO PDP III" xfId="4623"/>
    <cellStyle name="s_PMAT (2)_Valuation Summary_ORÇ_2009" xfId="4624"/>
    <cellStyle name="s_PMAT (2)_Valuation Summary_Pasta2" xfId="4625"/>
    <cellStyle name="s_PMAT (3)" xfId="4626"/>
    <cellStyle name="s_PMAT (3)_1" xfId="4627"/>
    <cellStyle name="s_PMAT (3)_1_Comparativo VP FIN v1_So 2008" xfId="8569"/>
    <cellStyle name="s_PMAT (3)_1_Comparativo VP MKT 2008 v1_So 2008" xfId="8570"/>
    <cellStyle name="s_PMAT (3)_1_Comparativo VP TEC 2008 v1_So 2008" xfId="8571"/>
    <cellStyle name="s_PMAT (3)_1_Comparativo VP TEC 2008_Luiz Sergio" xfId="8572"/>
    <cellStyle name="s_PMAT (3)_1_Cópia de Modelo - Fluxo de Caixa Orcamento 09052009_V36_3" xfId="4628"/>
    <cellStyle name="s_PMAT (3)_1_Fluxo de Caixa Orcamento FINAL_13052009" xfId="4629"/>
    <cellStyle name="s_PMAT (3)_1_FM_dummyV4" xfId="4630"/>
    <cellStyle name="s_PMAT (3)_1_lalur" xfId="4631"/>
    <cellStyle name="s_PMAT (3)_1_Leasing_V3" xfId="4632"/>
    <cellStyle name="s_PMAT (3)_1_MODELO PDP III" xfId="4633"/>
    <cellStyle name="s_PMAT (3)_1_ORÇ_2009" xfId="4634"/>
    <cellStyle name="s_PMAT (3)_1_Pasta2" xfId="4635"/>
    <cellStyle name="s_PMAT (3)_2" xfId="4636"/>
    <cellStyle name="s_PMAT (3)_2_Comparativo VP FIN v1_So 2008" xfId="8573"/>
    <cellStyle name="s_PMAT (3)_2_Comparativo VP MKT 2008 v1_So 2008" xfId="8574"/>
    <cellStyle name="s_PMAT (3)_2_Comparativo VP TEC 2008 v1_So 2008" xfId="8575"/>
    <cellStyle name="s_PMAT (3)_2_Comparativo VP TEC 2008_Luiz Sergio" xfId="8576"/>
    <cellStyle name="s_PMAT (3)_2_Cópia de Modelo - Fluxo de Caixa Orcamento 09052009_V36_3" xfId="4637"/>
    <cellStyle name="s_PMAT (3)_2_Fluxo de Caixa Orcamento FINAL_13052009" xfId="4638"/>
    <cellStyle name="s_PMAT (3)_2_FM_dummyV4" xfId="4639"/>
    <cellStyle name="s_PMAT (3)_2_lalur" xfId="4640"/>
    <cellStyle name="s_PMAT (3)_2_Leasing_V3" xfId="4641"/>
    <cellStyle name="s_PMAT (3)_2_MODELO PDP III" xfId="4642"/>
    <cellStyle name="s_PMAT (3)_2_ORÇ_2009" xfId="4643"/>
    <cellStyle name="s_PMAT (3)_2_Pasta2" xfId="4644"/>
    <cellStyle name="s_PMAT (3)_Celtic DCF" xfId="4645"/>
    <cellStyle name="s_PMAT (3)_Celtic DCF Inputs" xfId="4646"/>
    <cellStyle name="s_PMAT (3)_Celtic DCF Inputs_Comparativo VP FIN v1_So 2008" xfId="8577"/>
    <cellStyle name="s_PMAT (3)_Celtic DCF Inputs_Comparativo VP MKT 2008 v1_So 2008" xfId="8578"/>
    <cellStyle name="s_PMAT (3)_Celtic DCF Inputs_Comparativo VP TEC 2008 v1_So 2008" xfId="8579"/>
    <cellStyle name="s_PMAT (3)_Celtic DCF Inputs_Comparativo VP TEC 2008_Luiz Sergio" xfId="8580"/>
    <cellStyle name="s_PMAT (3)_Celtic DCF Inputs_Cópia de Modelo - Fluxo de Caixa Orcamento 09052009_V36_3" xfId="4647"/>
    <cellStyle name="s_PMAT (3)_Celtic DCF Inputs_Fluxo de Caixa Orcamento FINAL_13052009" xfId="4648"/>
    <cellStyle name="s_PMAT (3)_Celtic DCF Inputs_FM_dummyV4" xfId="4649"/>
    <cellStyle name="s_PMAT (3)_Celtic DCF Inputs_lalur" xfId="4650"/>
    <cellStyle name="s_PMAT (3)_Celtic DCF Inputs_Leasing_V3" xfId="4651"/>
    <cellStyle name="s_PMAT (3)_Celtic DCF Inputs_MODELO PDP III" xfId="4652"/>
    <cellStyle name="s_PMAT (3)_Celtic DCF Inputs_ORÇ_2009" xfId="4653"/>
    <cellStyle name="s_PMAT (3)_Celtic DCF Inputs_Pasta2" xfId="4654"/>
    <cellStyle name="s_PMAT (3)_Celtic DCF_Comparativo VP FIN v1_So 2008" xfId="8581"/>
    <cellStyle name="s_PMAT (3)_Celtic DCF_Comparativo VP MKT 2008 v1_So 2008" xfId="8582"/>
    <cellStyle name="s_PMAT (3)_Celtic DCF_Comparativo VP TEC 2008 v1_So 2008" xfId="8583"/>
    <cellStyle name="s_PMAT (3)_Celtic DCF_Comparativo VP TEC 2008_Luiz Sergio" xfId="8584"/>
    <cellStyle name="s_PMAT (3)_Celtic DCF_Cópia de Modelo - Fluxo de Caixa Orcamento 09052009_V36_3" xfId="4655"/>
    <cellStyle name="s_PMAT (3)_Celtic DCF_Fluxo de Caixa Orcamento FINAL_13052009" xfId="4656"/>
    <cellStyle name="s_PMAT (3)_Celtic DCF_FM_dummyV4" xfId="4657"/>
    <cellStyle name="s_PMAT (3)_Celtic DCF_lalur" xfId="4658"/>
    <cellStyle name="s_PMAT (3)_Celtic DCF_Leasing_V3" xfId="4659"/>
    <cellStyle name="s_PMAT (3)_Celtic DCF_MODELO PDP III" xfId="4660"/>
    <cellStyle name="s_PMAT (3)_Celtic DCF_ORÇ_2009" xfId="4661"/>
    <cellStyle name="s_PMAT (3)_Celtic DCF_Pasta2" xfId="4662"/>
    <cellStyle name="s_PMAT (3)_Comparativo VP FIN v1_So 2008" xfId="8585"/>
    <cellStyle name="s_PMAT (3)_Comparativo VP MKT 2008 v1_So 2008" xfId="8586"/>
    <cellStyle name="s_PMAT (3)_Comparativo VP TEC 2008 v1_So 2008" xfId="8587"/>
    <cellStyle name="s_PMAT (3)_Comparativo VP TEC 2008_Luiz Sergio" xfId="8588"/>
    <cellStyle name="s_PMAT (3)_Cópia de Modelo - Fluxo de Caixa Orcamento 09052009_V36_3" xfId="4663"/>
    <cellStyle name="s_PMAT (3)_Fluxo de Caixa Orcamento FINAL_13052009" xfId="4664"/>
    <cellStyle name="s_PMAT (3)_FM_dummyV4" xfId="4665"/>
    <cellStyle name="s_PMAT (3)_lalur" xfId="4666"/>
    <cellStyle name="s_PMAT (3)_Leasing_V3" xfId="4667"/>
    <cellStyle name="s_PMAT (3)_MODELO PDP III" xfId="4668"/>
    <cellStyle name="s_PMAT (3)_ORÇ_2009" xfId="4669"/>
    <cellStyle name="s_PMAT (3)_Pasta2" xfId="4670"/>
    <cellStyle name="s_PMAT (3)_Valuation Summary" xfId="4671"/>
    <cellStyle name="s_PMAT (3)_Valuation Summary_Comparativo VP FIN v1_So 2008" xfId="8589"/>
    <cellStyle name="s_PMAT (3)_Valuation Summary_Comparativo VP MKT 2008 v1_So 2008" xfId="8590"/>
    <cellStyle name="s_PMAT (3)_Valuation Summary_Comparativo VP TEC 2008 v1_So 2008" xfId="8591"/>
    <cellStyle name="s_PMAT (3)_Valuation Summary_Comparativo VP TEC 2008_Luiz Sergio" xfId="8592"/>
    <cellStyle name="s_PMAT (3)_Valuation Summary_Cópia de Modelo - Fluxo de Caixa Orcamento 09052009_V36_3" xfId="4672"/>
    <cellStyle name="s_PMAT (3)_Valuation Summary_Fluxo de Caixa Orcamento FINAL_13052009" xfId="4673"/>
    <cellStyle name="s_PMAT (3)_Valuation Summary_FM_dummyV4" xfId="4674"/>
    <cellStyle name="s_PMAT (3)_Valuation Summary_lalur" xfId="4675"/>
    <cellStyle name="s_PMAT (3)_Valuation Summary_Leasing_V3" xfId="4676"/>
    <cellStyle name="s_PMAT (3)_Valuation Summary_MODELO PDP III" xfId="4677"/>
    <cellStyle name="s_PMAT (3)_Valuation Summary_ORÇ_2009" xfId="4678"/>
    <cellStyle name="s_PMAT (3)_Valuation Summary_Pasta2" xfId="4679"/>
    <cellStyle name="s_PoundInc" xfId="4680"/>
    <cellStyle name="s_PoundInc (2)" xfId="4681"/>
    <cellStyle name="s_PoundInc (2)_1" xfId="4682"/>
    <cellStyle name="s_PoundInc (2)_1_Celtic DCF" xfId="4683"/>
    <cellStyle name="s_PoundInc (2)_1_Celtic DCF Inputs" xfId="4684"/>
    <cellStyle name="s_PoundInc (2)_1_Celtic DCF Inputs_Comparativo VP FIN v1_So 2008" xfId="8593"/>
    <cellStyle name="s_PoundInc (2)_1_Celtic DCF Inputs_Comparativo VP MKT 2008 v1_So 2008" xfId="8594"/>
    <cellStyle name="s_PoundInc (2)_1_Celtic DCF Inputs_Comparativo VP TEC 2008 v1_So 2008" xfId="8595"/>
    <cellStyle name="s_PoundInc (2)_1_Celtic DCF Inputs_Comparativo VP TEC 2008_Luiz Sergio" xfId="8596"/>
    <cellStyle name="s_PoundInc (2)_1_Celtic DCF Inputs_Cópia de Modelo - Fluxo de Caixa Orcamento 09052009_V36_3" xfId="4685"/>
    <cellStyle name="s_PoundInc (2)_1_Celtic DCF Inputs_Fluxo de Caixa Orcamento FINAL_13052009" xfId="4686"/>
    <cellStyle name="s_PoundInc (2)_1_Celtic DCF Inputs_FM_dummyV4" xfId="4687"/>
    <cellStyle name="s_PoundInc (2)_1_Celtic DCF Inputs_lalur" xfId="4688"/>
    <cellStyle name="s_PoundInc (2)_1_Celtic DCF Inputs_Leasing_V3" xfId="4689"/>
    <cellStyle name="s_PoundInc (2)_1_Celtic DCF Inputs_MODELO PDP III" xfId="4690"/>
    <cellStyle name="s_PoundInc (2)_1_Celtic DCF Inputs_ORÇ_2009" xfId="4691"/>
    <cellStyle name="s_PoundInc (2)_1_Celtic DCF Inputs_Pasta2" xfId="4692"/>
    <cellStyle name="s_PoundInc (2)_1_Celtic DCF_Comparativo VP FIN v1_So 2008" xfId="8597"/>
    <cellStyle name="s_PoundInc (2)_1_Celtic DCF_Comparativo VP MKT 2008 v1_So 2008" xfId="8598"/>
    <cellStyle name="s_PoundInc (2)_1_Celtic DCF_Comparativo VP TEC 2008 v1_So 2008" xfId="8599"/>
    <cellStyle name="s_PoundInc (2)_1_Celtic DCF_Comparativo VP TEC 2008_Luiz Sergio" xfId="8600"/>
    <cellStyle name="s_PoundInc (2)_1_Celtic DCF_Cópia de Modelo - Fluxo de Caixa Orcamento 09052009_V36_3" xfId="4693"/>
    <cellStyle name="s_PoundInc (2)_1_Celtic DCF_Fluxo de Caixa Orcamento FINAL_13052009" xfId="4694"/>
    <cellStyle name="s_PoundInc (2)_1_Celtic DCF_FM_dummyV4" xfId="4695"/>
    <cellStyle name="s_PoundInc (2)_1_Celtic DCF_lalur" xfId="4696"/>
    <cellStyle name="s_PoundInc (2)_1_Celtic DCF_Leasing_V3" xfId="4697"/>
    <cellStyle name="s_PoundInc (2)_1_Celtic DCF_MODELO PDP III" xfId="4698"/>
    <cellStyle name="s_PoundInc (2)_1_Celtic DCF_ORÇ_2009" xfId="4699"/>
    <cellStyle name="s_PoundInc (2)_1_Celtic DCF_Pasta2" xfId="4700"/>
    <cellStyle name="s_PoundInc (2)_1_Comparativo VP FIN v1_So 2008" xfId="8601"/>
    <cellStyle name="s_PoundInc (2)_1_Comparativo VP MKT 2008 v1_So 2008" xfId="8602"/>
    <cellStyle name="s_PoundInc (2)_1_Comparativo VP TEC 2008 v1_So 2008" xfId="8603"/>
    <cellStyle name="s_PoundInc (2)_1_Comparativo VP TEC 2008_Luiz Sergio" xfId="8604"/>
    <cellStyle name="s_PoundInc (2)_1_Cópia de Modelo - Fluxo de Caixa Orcamento 09052009_V36_3" xfId="4701"/>
    <cellStyle name="s_PoundInc (2)_1_Fluxo de Caixa Orcamento FINAL_13052009" xfId="4702"/>
    <cellStyle name="s_PoundInc (2)_1_FM_dummyV4" xfId="4703"/>
    <cellStyle name="s_PoundInc (2)_1_lalur" xfId="4704"/>
    <cellStyle name="s_PoundInc (2)_1_Leasing_V3" xfId="4705"/>
    <cellStyle name="s_PoundInc (2)_1_MODELO PDP III" xfId="4706"/>
    <cellStyle name="s_PoundInc (2)_1_ORÇ_2009" xfId="4707"/>
    <cellStyle name="s_PoundInc (2)_1_Pasta2" xfId="4708"/>
    <cellStyle name="s_PoundInc (2)_1_Valuation Summary" xfId="4709"/>
    <cellStyle name="s_PoundInc (2)_1_Valuation Summary_Comparativo VP FIN v1_So 2008" xfId="8605"/>
    <cellStyle name="s_PoundInc (2)_1_Valuation Summary_Comparativo VP MKT 2008 v1_So 2008" xfId="8606"/>
    <cellStyle name="s_PoundInc (2)_1_Valuation Summary_Comparativo VP TEC 2008 v1_So 2008" xfId="8607"/>
    <cellStyle name="s_PoundInc (2)_1_Valuation Summary_Comparativo VP TEC 2008_Luiz Sergio" xfId="8608"/>
    <cellStyle name="s_PoundInc (2)_1_Valuation Summary_Cópia de Modelo - Fluxo de Caixa Orcamento 09052009_V36_3" xfId="4710"/>
    <cellStyle name="s_PoundInc (2)_1_Valuation Summary_Fluxo de Caixa Orcamento FINAL_13052009" xfId="4711"/>
    <cellStyle name="s_PoundInc (2)_1_Valuation Summary_FM_dummyV4" xfId="4712"/>
    <cellStyle name="s_PoundInc (2)_1_Valuation Summary_lalur" xfId="4713"/>
    <cellStyle name="s_PoundInc (2)_1_Valuation Summary_Leasing_V3" xfId="4714"/>
    <cellStyle name="s_PoundInc (2)_1_Valuation Summary_MODELO PDP III" xfId="4715"/>
    <cellStyle name="s_PoundInc (2)_1_Valuation Summary_ORÇ_2009" xfId="4716"/>
    <cellStyle name="s_PoundInc (2)_1_Valuation Summary_Pasta2" xfId="4717"/>
    <cellStyle name="s_PoundInc (2)_2" xfId="4718"/>
    <cellStyle name="s_PoundInc (2)_2_Comparativo VP FIN v1_So 2008" xfId="8609"/>
    <cellStyle name="s_PoundInc (2)_2_Comparativo VP MKT 2008 v1_So 2008" xfId="8610"/>
    <cellStyle name="s_PoundInc (2)_2_Comparativo VP TEC 2008 v1_So 2008" xfId="8611"/>
    <cellStyle name="s_PoundInc (2)_2_Comparativo VP TEC 2008_Luiz Sergio" xfId="8612"/>
    <cellStyle name="s_PoundInc (2)_2_Cópia de Modelo - Fluxo de Caixa Orcamento 09052009_V36_3" xfId="4719"/>
    <cellStyle name="s_PoundInc (2)_2_Fluxo de Caixa Orcamento FINAL_13052009" xfId="4720"/>
    <cellStyle name="s_PoundInc (2)_2_FM_dummyV4" xfId="4721"/>
    <cellStyle name="s_PoundInc (2)_2_lalur" xfId="4722"/>
    <cellStyle name="s_PoundInc (2)_2_Leasing_V3" xfId="4723"/>
    <cellStyle name="s_PoundInc (2)_2_MODELO PDP III" xfId="4724"/>
    <cellStyle name="s_PoundInc (2)_2_ORÇ_2009" xfId="4725"/>
    <cellStyle name="s_PoundInc (2)_2_Pasta2" xfId="4726"/>
    <cellStyle name="s_PoundInc (2)_Comparativo VP FIN v1_So 2008" xfId="8613"/>
    <cellStyle name="s_PoundInc (2)_Comparativo VP MKT 2008 v1_So 2008" xfId="8614"/>
    <cellStyle name="s_PoundInc (2)_Comparativo VP TEC 2008 v1_So 2008" xfId="8615"/>
    <cellStyle name="s_PoundInc (2)_Comparativo VP TEC 2008_Luiz Sergio" xfId="8616"/>
    <cellStyle name="s_PoundInc (2)_Cópia de Modelo - Fluxo de Caixa Orcamento 09052009_V36_3" xfId="4727"/>
    <cellStyle name="s_PoundInc (2)_Fluxo de Caixa Orcamento FINAL_13052009" xfId="4728"/>
    <cellStyle name="s_PoundInc (2)_FM_dummyV4" xfId="4729"/>
    <cellStyle name="s_PoundInc (2)_lalur" xfId="4730"/>
    <cellStyle name="s_PoundInc (2)_Leasing_V3" xfId="4731"/>
    <cellStyle name="s_PoundInc (2)_MODELO PDP III" xfId="4732"/>
    <cellStyle name="s_PoundInc (2)_ORÇ_2009" xfId="4733"/>
    <cellStyle name="s_PoundInc (2)_Pasta2" xfId="4734"/>
    <cellStyle name="s_PoundInc_Celtic DCF" xfId="4735"/>
    <cellStyle name="s_PoundInc_Celtic DCF Inputs" xfId="4736"/>
    <cellStyle name="s_PoundInc_Celtic DCF Inputs_Comparativo VP FIN v1_So 2008" xfId="8617"/>
    <cellStyle name="s_PoundInc_Celtic DCF Inputs_Comparativo VP MKT 2008 v1_So 2008" xfId="8618"/>
    <cellStyle name="s_PoundInc_Celtic DCF Inputs_Comparativo VP TEC 2008 v1_So 2008" xfId="8619"/>
    <cellStyle name="s_PoundInc_Celtic DCF Inputs_Comparativo VP TEC 2008_Luiz Sergio" xfId="8620"/>
    <cellStyle name="s_PoundInc_Celtic DCF Inputs_Cópia de Modelo - Fluxo de Caixa Orcamento 09052009_V36_3" xfId="4737"/>
    <cellStyle name="s_PoundInc_Celtic DCF Inputs_Fluxo de Caixa Orcamento FINAL_13052009" xfId="4738"/>
    <cellStyle name="s_PoundInc_Celtic DCF Inputs_FM_dummyV4" xfId="4739"/>
    <cellStyle name="s_PoundInc_Celtic DCF Inputs_lalur" xfId="4740"/>
    <cellStyle name="s_PoundInc_Celtic DCF Inputs_Leasing_V3" xfId="4741"/>
    <cellStyle name="s_PoundInc_Celtic DCF Inputs_MODELO PDP III" xfId="4742"/>
    <cellStyle name="s_PoundInc_Celtic DCF Inputs_ORÇ_2009" xfId="4743"/>
    <cellStyle name="s_PoundInc_Celtic DCF Inputs_Pasta2" xfId="4744"/>
    <cellStyle name="s_PoundInc_Celtic DCF_Comparativo VP FIN v1_So 2008" xfId="8621"/>
    <cellStyle name="s_PoundInc_Celtic DCF_Comparativo VP MKT 2008 v1_So 2008" xfId="8622"/>
    <cellStyle name="s_PoundInc_Celtic DCF_Comparativo VP TEC 2008 v1_So 2008" xfId="8623"/>
    <cellStyle name="s_PoundInc_Celtic DCF_Comparativo VP TEC 2008_Luiz Sergio" xfId="8624"/>
    <cellStyle name="s_PoundInc_Celtic DCF_Cópia de Modelo - Fluxo de Caixa Orcamento 09052009_V36_3" xfId="4745"/>
    <cellStyle name="s_PoundInc_Celtic DCF_Fluxo de Caixa Orcamento FINAL_13052009" xfId="4746"/>
    <cellStyle name="s_PoundInc_Celtic DCF_FM_dummyV4" xfId="4747"/>
    <cellStyle name="s_PoundInc_Celtic DCF_lalur" xfId="4748"/>
    <cellStyle name="s_PoundInc_Celtic DCF_Leasing_V3" xfId="4749"/>
    <cellStyle name="s_PoundInc_Celtic DCF_MODELO PDP III" xfId="4750"/>
    <cellStyle name="s_PoundInc_Celtic DCF_ORÇ_2009" xfId="4751"/>
    <cellStyle name="s_PoundInc_Celtic DCF_Pasta2" xfId="4752"/>
    <cellStyle name="s_PoundInc_Comparativo VP FIN v1_So 2008" xfId="8625"/>
    <cellStyle name="s_PoundInc_Comparativo VP MKT 2008 v1_So 2008" xfId="8626"/>
    <cellStyle name="s_PoundInc_Comparativo VP TEC 2008 v1_So 2008" xfId="8627"/>
    <cellStyle name="s_PoundInc_Comparativo VP TEC 2008_Luiz Sergio" xfId="8628"/>
    <cellStyle name="s_PoundInc_Cópia de Modelo - Fluxo de Caixa Orcamento 09052009_V36_3" xfId="4753"/>
    <cellStyle name="s_PoundInc_Fluxo de Caixa Orcamento FINAL_13052009" xfId="4754"/>
    <cellStyle name="s_PoundInc_FM_dummyV4" xfId="4755"/>
    <cellStyle name="s_PoundInc_lalur" xfId="4756"/>
    <cellStyle name="s_PoundInc_Leasing_V3" xfId="4757"/>
    <cellStyle name="s_PoundInc_MODELO PDP III" xfId="4758"/>
    <cellStyle name="s_PoundInc_ORÇ_2009" xfId="4759"/>
    <cellStyle name="s_PoundInc_Pasta2" xfId="4760"/>
    <cellStyle name="s_PoundInc_Valuation Summary" xfId="4761"/>
    <cellStyle name="s_PoundInc_Valuation Summary_Comparativo VP FIN v1_So 2008" xfId="8629"/>
    <cellStyle name="s_PoundInc_Valuation Summary_Comparativo VP MKT 2008 v1_So 2008" xfId="8630"/>
    <cellStyle name="s_PoundInc_Valuation Summary_Comparativo VP TEC 2008 v1_So 2008" xfId="8631"/>
    <cellStyle name="s_PoundInc_Valuation Summary_Comparativo VP TEC 2008_Luiz Sergio" xfId="8632"/>
    <cellStyle name="s_PoundInc_Valuation Summary_Cópia de Modelo - Fluxo de Caixa Orcamento 09052009_V36_3" xfId="4762"/>
    <cellStyle name="s_PoundInc_Valuation Summary_Fluxo de Caixa Orcamento FINAL_13052009" xfId="4763"/>
    <cellStyle name="s_PoundInc_Valuation Summary_FM_dummyV4" xfId="4764"/>
    <cellStyle name="s_PoundInc_Valuation Summary_lalur" xfId="4765"/>
    <cellStyle name="s_PoundInc_Valuation Summary_Leasing_V3" xfId="4766"/>
    <cellStyle name="s_PoundInc_Valuation Summary_MODELO PDP III" xfId="4767"/>
    <cellStyle name="s_PoundInc_Valuation Summary_ORÇ_2009" xfId="4768"/>
    <cellStyle name="s_PoundInc_Valuation Summary_Pasta2" xfId="4769"/>
    <cellStyle name="s_Poundstone (2)" xfId="4770"/>
    <cellStyle name="s_Poundstone (2)_1" xfId="4771"/>
    <cellStyle name="s_Poundstone (2)_1_Comparativo VP FIN v1_So 2008" xfId="8633"/>
    <cellStyle name="s_Poundstone (2)_1_Comparativo VP MKT 2008 v1_So 2008" xfId="8634"/>
    <cellStyle name="s_Poundstone (2)_1_Comparativo VP TEC 2008 v1_So 2008" xfId="8635"/>
    <cellStyle name="s_Poundstone (2)_1_Comparativo VP TEC 2008_Luiz Sergio" xfId="8636"/>
    <cellStyle name="s_Poundstone (2)_1_Cópia de Modelo - Fluxo de Caixa Orcamento 09052009_V36_3" xfId="4772"/>
    <cellStyle name="s_Poundstone (2)_1_Fluxo de Caixa Orcamento FINAL_13052009" xfId="4773"/>
    <cellStyle name="s_Poundstone (2)_1_FM_dummyV4" xfId="4774"/>
    <cellStyle name="s_Poundstone (2)_1_lalur" xfId="4775"/>
    <cellStyle name="s_Poundstone (2)_1_Leasing_V3" xfId="4776"/>
    <cellStyle name="s_Poundstone (2)_1_MODELO PDP III" xfId="4777"/>
    <cellStyle name="s_Poundstone (2)_1_ORÇ_2009" xfId="4778"/>
    <cellStyle name="s_Poundstone (2)_1_Pasta2" xfId="4779"/>
    <cellStyle name="s_Poundstone (2)_2" xfId="4780"/>
    <cellStyle name="s_Poundstone (2)_2_Comparativo VP FIN v1_So 2008" xfId="8637"/>
    <cellStyle name="s_Poundstone (2)_2_Comparativo VP MKT 2008 v1_So 2008" xfId="8638"/>
    <cellStyle name="s_Poundstone (2)_2_Comparativo VP TEC 2008 v1_So 2008" xfId="8639"/>
    <cellStyle name="s_Poundstone (2)_2_Comparativo VP TEC 2008_Luiz Sergio" xfId="8640"/>
    <cellStyle name="s_Poundstone (2)_2_Cópia de Modelo - Fluxo de Caixa Orcamento 09052009_V36_3" xfId="4781"/>
    <cellStyle name="s_Poundstone (2)_2_Fluxo de Caixa Orcamento FINAL_13052009" xfId="4782"/>
    <cellStyle name="s_Poundstone (2)_2_FM_dummyV4" xfId="4783"/>
    <cellStyle name="s_Poundstone (2)_2_lalur" xfId="4784"/>
    <cellStyle name="s_Poundstone (2)_2_Leasing_V3" xfId="4785"/>
    <cellStyle name="s_Poundstone (2)_2_MODELO PDP III" xfId="4786"/>
    <cellStyle name="s_Poundstone (2)_2_ORÇ_2009" xfId="4787"/>
    <cellStyle name="s_Poundstone (2)_2_Pasta2" xfId="4788"/>
    <cellStyle name="s_Poundstone (2)_Celtic DCF" xfId="4789"/>
    <cellStyle name="s_Poundstone (2)_Celtic DCF Inputs" xfId="4790"/>
    <cellStyle name="s_Poundstone (2)_Celtic DCF Inputs_Comparativo VP FIN v1_So 2008" xfId="8641"/>
    <cellStyle name="s_Poundstone (2)_Celtic DCF Inputs_Comparativo VP MKT 2008 v1_So 2008" xfId="8642"/>
    <cellStyle name="s_Poundstone (2)_Celtic DCF Inputs_Comparativo VP TEC 2008 v1_So 2008" xfId="8643"/>
    <cellStyle name="s_Poundstone (2)_Celtic DCF Inputs_Comparativo VP TEC 2008_Luiz Sergio" xfId="8644"/>
    <cellStyle name="s_Poundstone (2)_Celtic DCF Inputs_Cópia de Modelo - Fluxo de Caixa Orcamento 09052009_V36_3" xfId="4791"/>
    <cellStyle name="s_Poundstone (2)_Celtic DCF Inputs_Fluxo de Caixa Orcamento FINAL_13052009" xfId="4792"/>
    <cellStyle name="s_Poundstone (2)_Celtic DCF Inputs_FM_dummyV4" xfId="4793"/>
    <cellStyle name="s_Poundstone (2)_Celtic DCF Inputs_lalur" xfId="4794"/>
    <cellStyle name="s_Poundstone (2)_Celtic DCF Inputs_Leasing_V3" xfId="4795"/>
    <cellStyle name="s_Poundstone (2)_Celtic DCF Inputs_MODELO PDP III" xfId="4796"/>
    <cellStyle name="s_Poundstone (2)_Celtic DCF Inputs_ORÇ_2009" xfId="4797"/>
    <cellStyle name="s_Poundstone (2)_Celtic DCF Inputs_Pasta2" xfId="4798"/>
    <cellStyle name="s_Poundstone (2)_Celtic DCF_Comparativo VP FIN v1_So 2008" xfId="8645"/>
    <cellStyle name="s_Poundstone (2)_Celtic DCF_Comparativo VP MKT 2008 v1_So 2008" xfId="8646"/>
    <cellStyle name="s_Poundstone (2)_Celtic DCF_Comparativo VP TEC 2008 v1_So 2008" xfId="8647"/>
    <cellStyle name="s_Poundstone (2)_Celtic DCF_Comparativo VP TEC 2008_Luiz Sergio" xfId="8648"/>
    <cellStyle name="s_Poundstone (2)_Celtic DCF_Cópia de Modelo - Fluxo de Caixa Orcamento 09052009_V36_3" xfId="4799"/>
    <cellStyle name="s_Poundstone (2)_Celtic DCF_Fluxo de Caixa Orcamento FINAL_13052009" xfId="4800"/>
    <cellStyle name="s_Poundstone (2)_Celtic DCF_FM_dummyV4" xfId="4801"/>
    <cellStyle name="s_Poundstone (2)_Celtic DCF_lalur" xfId="4802"/>
    <cellStyle name="s_Poundstone (2)_Celtic DCF_Leasing_V3" xfId="4803"/>
    <cellStyle name="s_Poundstone (2)_Celtic DCF_MODELO PDP III" xfId="4804"/>
    <cellStyle name="s_Poundstone (2)_Celtic DCF_ORÇ_2009" xfId="4805"/>
    <cellStyle name="s_Poundstone (2)_Celtic DCF_Pasta2" xfId="4806"/>
    <cellStyle name="s_Poundstone (2)_Comparativo VP FIN v1_So 2008" xfId="8649"/>
    <cellStyle name="s_Poundstone (2)_Comparativo VP MKT 2008 v1_So 2008" xfId="8650"/>
    <cellStyle name="s_Poundstone (2)_Comparativo VP TEC 2008 v1_So 2008" xfId="8651"/>
    <cellStyle name="s_Poundstone (2)_Comparativo VP TEC 2008_Luiz Sergio" xfId="8652"/>
    <cellStyle name="s_Poundstone (2)_Cópia de Modelo - Fluxo de Caixa Orcamento 09052009_V36_3" xfId="4807"/>
    <cellStyle name="s_Poundstone (2)_Fluxo de Caixa Orcamento FINAL_13052009" xfId="4808"/>
    <cellStyle name="s_Poundstone (2)_FM_dummyV4" xfId="4809"/>
    <cellStyle name="s_Poundstone (2)_lalur" xfId="4810"/>
    <cellStyle name="s_Poundstone (2)_Leasing_V3" xfId="4811"/>
    <cellStyle name="s_Poundstone (2)_MODELO PDP III" xfId="4812"/>
    <cellStyle name="s_Poundstone (2)_ORÇ_2009" xfId="4813"/>
    <cellStyle name="s_Poundstone (2)_Pasta2" xfId="4814"/>
    <cellStyle name="s_Poundstone (2)_Valuation Summary" xfId="4815"/>
    <cellStyle name="s_Poundstone (2)_Valuation Summary_Comparativo VP FIN v1_So 2008" xfId="8653"/>
    <cellStyle name="s_Poundstone (2)_Valuation Summary_Comparativo VP MKT 2008 v1_So 2008" xfId="8654"/>
    <cellStyle name="s_Poundstone (2)_Valuation Summary_Comparativo VP TEC 2008 v1_So 2008" xfId="8655"/>
    <cellStyle name="s_Poundstone (2)_Valuation Summary_Comparativo VP TEC 2008_Luiz Sergio" xfId="8656"/>
    <cellStyle name="s_Poundstone (2)_Valuation Summary_Cópia de Modelo - Fluxo de Caixa Orcamento 09052009_V36_3" xfId="4816"/>
    <cellStyle name="s_Poundstone (2)_Valuation Summary_Fluxo de Caixa Orcamento FINAL_13052009" xfId="4817"/>
    <cellStyle name="s_Poundstone (2)_Valuation Summary_FM_dummyV4" xfId="4818"/>
    <cellStyle name="s_Poundstone (2)_Valuation Summary_lalur" xfId="4819"/>
    <cellStyle name="s_Poundstone (2)_Valuation Summary_Leasing_V3" xfId="4820"/>
    <cellStyle name="s_Poundstone (2)_Valuation Summary_MODELO PDP III" xfId="4821"/>
    <cellStyle name="s_Poundstone (2)_Valuation Summary_ORÇ_2009" xfId="4822"/>
    <cellStyle name="s_Poundstone (2)_Valuation Summary_Pasta2" xfId="4823"/>
    <cellStyle name="s_Preliminary Poundstone (2)" xfId="4824"/>
    <cellStyle name="s_Preliminary Poundstone (2)_1" xfId="4825"/>
    <cellStyle name="s_Preliminary Poundstone (2)_1_Comparativo VP FIN v1_So 2008" xfId="8657"/>
    <cellStyle name="s_Preliminary Poundstone (2)_1_Comparativo VP MKT 2008 v1_So 2008" xfId="8658"/>
    <cellStyle name="s_Preliminary Poundstone (2)_1_Comparativo VP TEC 2008 v1_So 2008" xfId="8659"/>
    <cellStyle name="s_Preliminary Poundstone (2)_1_Comparativo VP TEC 2008_Luiz Sergio" xfId="8660"/>
    <cellStyle name="s_Preliminary Poundstone (2)_1_Cópia de Modelo - Fluxo de Caixa Orcamento 09052009_V36_3" xfId="4826"/>
    <cellStyle name="s_Preliminary Poundstone (2)_1_Fluxo de Caixa Orcamento FINAL_13052009" xfId="4827"/>
    <cellStyle name="s_Preliminary Poundstone (2)_1_FM_dummyV4" xfId="4828"/>
    <cellStyle name="s_Preliminary Poundstone (2)_1_lalur" xfId="4829"/>
    <cellStyle name="s_Preliminary Poundstone (2)_1_Leasing_V3" xfId="4830"/>
    <cellStyle name="s_Preliminary Poundstone (2)_1_MODELO PDP III" xfId="4831"/>
    <cellStyle name="s_Preliminary Poundstone (2)_1_ORÇ_2009" xfId="4832"/>
    <cellStyle name="s_Preliminary Poundstone (2)_1_Pasta2" xfId="4833"/>
    <cellStyle name="s_Preliminary Poundstone (2)_Comparativo VP FIN v1_So 2008" xfId="8661"/>
    <cellStyle name="s_Preliminary Poundstone (2)_Comparativo VP MKT 2008 v1_So 2008" xfId="8662"/>
    <cellStyle name="s_Preliminary Poundstone (2)_Comparativo VP TEC 2008 v1_So 2008" xfId="8663"/>
    <cellStyle name="s_Preliminary Poundstone (2)_Comparativo VP TEC 2008_Luiz Sergio" xfId="8664"/>
    <cellStyle name="s_Preliminary Poundstone (2)_Cópia de Modelo - Fluxo de Caixa Orcamento 09052009_V36_3" xfId="4834"/>
    <cellStyle name="s_Preliminary Poundstone (2)_Fluxo de Caixa Orcamento FINAL_13052009" xfId="4835"/>
    <cellStyle name="s_Preliminary Poundstone (2)_FM_dummyV4" xfId="4836"/>
    <cellStyle name="s_Preliminary Poundstone (2)_lalur" xfId="4837"/>
    <cellStyle name="s_Preliminary Poundstone (2)_Leasing_V3" xfId="4838"/>
    <cellStyle name="s_Preliminary Poundstone (2)_MODELO PDP III" xfId="4839"/>
    <cellStyle name="s_Preliminary Poundstone (2)_ORÇ_2009" xfId="4840"/>
    <cellStyle name="s_Preliminary Poundstone (2)_Pasta2" xfId="4841"/>
    <cellStyle name="s_Proj Graph" xfId="4842"/>
    <cellStyle name="s_Proj Graph_1" xfId="4843"/>
    <cellStyle name="s_Proj Graph_1_Comparativo VP FIN v1_So 2008" xfId="8665"/>
    <cellStyle name="s_Proj Graph_1_Comparativo VP MKT 2008 v1_So 2008" xfId="8666"/>
    <cellStyle name="s_Proj Graph_1_Comparativo VP TEC 2008 v1_So 2008" xfId="8667"/>
    <cellStyle name="s_Proj Graph_1_Comparativo VP TEC 2008_Luiz Sergio" xfId="8668"/>
    <cellStyle name="s_Proj Graph_1_Cópia de Modelo - Fluxo de Caixa Orcamento 09052009_V36_3" xfId="4844"/>
    <cellStyle name="s_Proj Graph_1_Fluxo de Caixa Orcamento FINAL_13052009" xfId="4845"/>
    <cellStyle name="s_Proj Graph_1_FM_dummyV4" xfId="4846"/>
    <cellStyle name="s_Proj Graph_1_lalur" xfId="4847"/>
    <cellStyle name="s_Proj Graph_1_Leasing_V3" xfId="4848"/>
    <cellStyle name="s_Proj Graph_1_MODELO PDP III" xfId="4849"/>
    <cellStyle name="s_Proj Graph_1_ORÇ_2009" xfId="4850"/>
    <cellStyle name="s_Proj Graph_1_Pasta2" xfId="4851"/>
    <cellStyle name="s_Proj Graph_2" xfId="4852"/>
    <cellStyle name="s_Proj Graph_2_Comparativo VP FIN v1_So 2008" xfId="8669"/>
    <cellStyle name="s_Proj Graph_2_Comparativo VP MKT 2008 v1_So 2008" xfId="8670"/>
    <cellStyle name="s_Proj Graph_2_Comparativo VP TEC 2008 v1_So 2008" xfId="8671"/>
    <cellStyle name="s_Proj Graph_2_Comparativo VP TEC 2008_Luiz Sergio" xfId="8672"/>
    <cellStyle name="s_Proj Graph_2_Cópia de Modelo - Fluxo de Caixa Orcamento 09052009_V36_3" xfId="4853"/>
    <cellStyle name="s_Proj Graph_2_Fluxo de Caixa Orcamento FINAL_13052009" xfId="4854"/>
    <cellStyle name="s_Proj Graph_2_FM_dummyV4" xfId="4855"/>
    <cellStyle name="s_Proj Graph_2_lalur" xfId="4856"/>
    <cellStyle name="s_Proj Graph_2_Leasing_V3" xfId="4857"/>
    <cellStyle name="s_Proj Graph_2_MODELO PDP III" xfId="4858"/>
    <cellStyle name="s_Proj Graph_2_ORÇ_2009" xfId="4859"/>
    <cellStyle name="s_Proj Graph_2_Pasta2" xfId="4860"/>
    <cellStyle name="s_Proj Graph_Comparativo VP FIN v1_So 2008" xfId="8673"/>
    <cellStyle name="s_Proj Graph_Comparativo VP MKT 2008 v1_So 2008" xfId="8674"/>
    <cellStyle name="s_Proj Graph_Comparativo VP TEC 2008 v1_So 2008" xfId="8675"/>
    <cellStyle name="s_Proj Graph_Comparativo VP TEC 2008_Luiz Sergio" xfId="8676"/>
    <cellStyle name="s_Proj Graph_Cópia de Modelo - Fluxo de Caixa Orcamento 09052009_V36_3" xfId="4861"/>
    <cellStyle name="s_Proj Graph_Fluxo de Caixa Orcamento FINAL_13052009" xfId="4862"/>
    <cellStyle name="s_Proj Graph_FM_dummyV4" xfId="4863"/>
    <cellStyle name="s_Proj Graph_lalur" xfId="4864"/>
    <cellStyle name="s_Proj Graph_Leasing_V3" xfId="4865"/>
    <cellStyle name="s_Proj Graph_MODELO PDP III" xfId="4866"/>
    <cellStyle name="s_Proj Graph_ORÇ_2009" xfId="4867"/>
    <cellStyle name="s_Proj Graph_Pasta2" xfId="4868"/>
    <cellStyle name="s_Q2 pipeline" xfId="4869"/>
    <cellStyle name="s_Resultados mensais - Arquivo base maio 2010" xfId="8677"/>
    <cellStyle name="s_Resultados mensais - Arquivo base maio 2010_Base ITR Set-10 - Ajustes Resmat" xfId="8678"/>
    <cellStyle name="s_REVISE24" xfId="4870"/>
    <cellStyle name="s_REVISE24_Comparativo VP FIN v1_So 2008" xfId="8679"/>
    <cellStyle name="s_REVISE24_Comparativo VP MKT 2008 v1_So 2008" xfId="8680"/>
    <cellStyle name="s_REVISE24_Comparativo VP TEC 2008 v1_So 2008" xfId="8681"/>
    <cellStyle name="s_REVISE24_Comparativo VP TEC 2008_Luiz Sergio" xfId="8682"/>
    <cellStyle name="s_REVISE24_Cópia de Modelo - Fluxo de Caixa Orcamento 09052009_V36_3" xfId="4871"/>
    <cellStyle name="s_REVISE24_Fluxo de Caixa Orcamento FINAL_13052009" xfId="4872"/>
    <cellStyle name="s_REVISE24_FM_dummyV4" xfId="4873"/>
    <cellStyle name="s_REVISE24_lalur" xfId="4874"/>
    <cellStyle name="s_REVISE24_Leasing_V3" xfId="4875"/>
    <cellStyle name="s_REVISE24_MODELO PDP III" xfId="4876"/>
    <cellStyle name="s_REVISE24_ORÇ_2009" xfId="4877"/>
    <cellStyle name="s_REVISE24_Pasta2" xfId="4878"/>
    <cellStyle name="s_Rolex-Timex" xfId="4879"/>
    <cellStyle name="s_Rolex-Timex_1" xfId="4880"/>
    <cellStyle name="s_Rolex-Timex_1_Comparativo VP FIN v1_So 2008" xfId="8683"/>
    <cellStyle name="s_Rolex-Timex_1_Comparativo VP MKT 2008 v1_So 2008" xfId="8684"/>
    <cellStyle name="s_Rolex-Timex_1_Comparativo VP TEC 2008 v1_So 2008" xfId="8685"/>
    <cellStyle name="s_Rolex-Timex_1_Comparativo VP TEC 2008_Luiz Sergio" xfId="8686"/>
    <cellStyle name="s_Rolex-Timex_1_Cópia de Modelo - Fluxo de Caixa Orcamento 09052009_V36_3" xfId="4881"/>
    <cellStyle name="s_Rolex-Timex_1_Fluxo de Caixa Orcamento FINAL_13052009" xfId="4882"/>
    <cellStyle name="s_Rolex-Timex_1_FM_dummyV4" xfId="4883"/>
    <cellStyle name="s_Rolex-Timex_1_lalur" xfId="4884"/>
    <cellStyle name="s_Rolex-Timex_1_Leasing_V3" xfId="4885"/>
    <cellStyle name="s_Rolex-Timex_1_MODELO PDP III" xfId="4886"/>
    <cellStyle name="s_Rolex-Timex_1_ORÇ_2009" xfId="4887"/>
    <cellStyle name="s_Rolex-Timex_1_Pasta2" xfId="4888"/>
    <cellStyle name="s_Rolex-Timex_Comparativo VP FIN v1_So 2008" xfId="8687"/>
    <cellStyle name="s_Rolex-Timex_Comparativo VP MKT 2008 v1_So 2008" xfId="8688"/>
    <cellStyle name="s_Rolex-Timex_Comparativo VP TEC 2008 v1_So 2008" xfId="8689"/>
    <cellStyle name="s_Rolex-Timex_Comparativo VP TEC 2008_Luiz Sergio" xfId="8690"/>
    <cellStyle name="s_Rolex-Timex_Cópia de Modelo - Fluxo de Caixa Orcamento 09052009_V36_3" xfId="4889"/>
    <cellStyle name="s_Rolex-Timex_Fluxo de Caixa Orcamento FINAL_13052009" xfId="4890"/>
    <cellStyle name="s_Rolex-Timex_FM_dummyV4" xfId="4891"/>
    <cellStyle name="s_Rolex-Timex_lalur" xfId="4892"/>
    <cellStyle name="s_Rolex-Timex_Leasing_V3" xfId="4893"/>
    <cellStyle name="s_Rolex-Timex_MODELO PDP III" xfId="4894"/>
    <cellStyle name="s_Rolex-Timex_ORÇ_2009" xfId="4895"/>
    <cellStyle name="s_Rolex-Timex_Pasta2" xfId="4896"/>
    <cellStyle name="s_RushValSum (2)" xfId="4897"/>
    <cellStyle name="s_RushValSum (2)_1" xfId="4898"/>
    <cellStyle name="s_RushValSum (2)_1_Comparativo VP FIN v1_So 2008" xfId="8691"/>
    <cellStyle name="s_RushValSum (2)_1_Comparativo VP MKT 2008 v1_So 2008" xfId="8692"/>
    <cellStyle name="s_RushValSum (2)_1_Comparativo VP TEC 2008 v1_So 2008" xfId="8693"/>
    <cellStyle name="s_RushValSum (2)_1_Comparativo VP TEC 2008_Luiz Sergio" xfId="8694"/>
    <cellStyle name="s_RushValSum (2)_1_Cópia de Modelo - Fluxo de Caixa Orcamento 09052009_V36_3" xfId="4899"/>
    <cellStyle name="s_RushValSum (2)_1_Fluxo de Caixa Orcamento FINAL_13052009" xfId="4900"/>
    <cellStyle name="s_RushValSum (2)_1_FM_dummyV4" xfId="4901"/>
    <cellStyle name="s_RushValSum (2)_1_lalur" xfId="4902"/>
    <cellStyle name="s_RushValSum (2)_1_Leasing_V3" xfId="4903"/>
    <cellStyle name="s_RushValSum (2)_1_MODELO PDP III" xfId="4904"/>
    <cellStyle name="s_RushValSum (2)_1_ORÇ_2009" xfId="4905"/>
    <cellStyle name="s_RushValSum (2)_1_Pasta2" xfId="4906"/>
    <cellStyle name="s_RushValSum (2)_2" xfId="4907"/>
    <cellStyle name="s_RushValSum (2)_2_Comparativo VP FIN v1_So 2008" xfId="8695"/>
    <cellStyle name="s_RushValSum (2)_2_Comparativo VP MKT 2008 v1_So 2008" xfId="8696"/>
    <cellStyle name="s_RushValSum (2)_2_Comparativo VP TEC 2008 v1_So 2008" xfId="8697"/>
    <cellStyle name="s_RushValSum (2)_2_Comparativo VP TEC 2008_Luiz Sergio" xfId="8698"/>
    <cellStyle name="s_RushValSum (2)_2_Cópia de Modelo - Fluxo de Caixa Orcamento 09052009_V36_3" xfId="4908"/>
    <cellStyle name="s_RushValSum (2)_2_Fluxo de Caixa Orcamento FINAL_13052009" xfId="4909"/>
    <cellStyle name="s_RushValSum (2)_2_FM_dummyV4" xfId="4910"/>
    <cellStyle name="s_RushValSum (2)_2_lalur" xfId="4911"/>
    <cellStyle name="s_RushValSum (2)_2_Leasing_V3" xfId="4912"/>
    <cellStyle name="s_RushValSum (2)_2_MODELO PDP III" xfId="4913"/>
    <cellStyle name="s_RushValSum (2)_2_ORÇ_2009" xfId="4914"/>
    <cellStyle name="s_RushValSum (2)_2_Pasta2" xfId="4915"/>
    <cellStyle name="s_RushValSum (2)_Celtic DCF" xfId="4916"/>
    <cellStyle name="s_RushValSum (2)_Celtic DCF Inputs" xfId="4917"/>
    <cellStyle name="s_RushValSum (2)_Celtic DCF Inputs_Comparativo VP FIN v1_So 2008" xfId="8699"/>
    <cellStyle name="s_RushValSum (2)_Celtic DCF Inputs_Comparativo VP MKT 2008 v1_So 2008" xfId="8700"/>
    <cellStyle name="s_RushValSum (2)_Celtic DCF Inputs_Comparativo VP TEC 2008 v1_So 2008" xfId="8701"/>
    <cellStyle name="s_RushValSum (2)_Celtic DCF Inputs_Comparativo VP TEC 2008_Luiz Sergio" xfId="8702"/>
    <cellStyle name="s_RushValSum (2)_Celtic DCF Inputs_Cópia de Modelo - Fluxo de Caixa Orcamento 09052009_V36_3" xfId="4918"/>
    <cellStyle name="s_RushValSum (2)_Celtic DCF Inputs_Fluxo de Caixa Orcamento FINAL_13052009" xfId="4919"/>
    <cellStyle name="s_RushValSum (2)_Celtic DCF Inputs_FM_dummyV4" xfId="4920"/>
    <cellStyle name="s_RushValSum (2)_Celtic DCF Inputs_lalur" xfId="4921"/>
    <cellStyle name="s_RushValSum (2)_Celtic DCF Inputs_Leasing_V3" xfId="4922"/>
    <cellStyle name="s_RushValSum (2)_Celtic DCF Inputs_MODELO PDP III" xfId="4923"/>
    <cellStyle name="s_RushValSum (2)_Celtic DCF Inputs_ORÇ_2009" xfId="4924"/>
    <cellStyle name="s_RushValSum (2)_Celtic DCF Inputs_Pasta2" xfId="4925"/>
    <cellStyle name="s_RushValSum (2)_Celtic DCF_Comparativo VP FIN v1_So 2008" xfId="8703"/>
    <cellStyle name="s_RushValSum (2)_Celtic DCF_Comparativo VP MKT 2008 v1_So 2008" xfId="8704"/>
    <cellStyle name="s_RushValSum (2)_Celtic DCF_Comparativo VP TEC 2008 v1_So 2008" xfId="8705"/>
    <cellStyle name="s_RushValSum (2)_Celtic DCF_Comparativo VP TEC 2008_Luiz Sergio" xfId="8706"/>
    <cellStyle name="s_RushValSum (2)_Celtic DCF_Cópia de Modelo - Fluxo de Caixa Orcamento 09052009_V36_3" xfId="4926"/>
    <cellStyle name="s_RushValSum (2)_Celtic DCF_Fluxo de Caixa Orcamento FINAL_13052009" xfId="4927"/>
    <cellStyle name="s_RushValSum (2)_Celtic DCF_FM_dummyV4" xfId="4928"/>
    <cellStyle name="s_RushValSum (2)_Celtic DCF_lalur" xfId="4929"/>
    <cellStyle name="s_RushValSum (2)_Celtic DCF_Leasing_V3" xfId="4930"/>
    <cellStyle name="s_RushValSum (2)_Celtic DCF_MODELO PDP III" xfId="4931"/>
    <cellStyle name="s_RushValSum (2)_Celtic DCF_ORÇ_2009" xfId="4932"/>
    <cellStyle name="s_RushValSum (2)_Celtic DCF_Pasta2" xfId="4933"/>
    <cellStyle name="s_RushValSum (2)_Comparativo VP FIN v1_So 2008" xfId="8707"/>
    <cellStyle name="s_RushValSum (2)_Comparativo VP MKT 2008 v1_So 2008" xfId="8708"/>
    <cellStyle name="s_RushValSum (2)_Comparativo VP TEC 2008 v1_So 2008" xfId="8709"/>
    <cellStyle name="s_RushValSum (2)_Comparativo VP TEC 2008_Luiz Sergio" xfId="8710"/>
    <cellStyle name="s_RushValSum (2)_Cópia de Modelo - Fluxo de Caixa Orcamento 09052009_V36_3" xfId="4934"/>
    <cellStyle name="s_RushValSum (2)_Fluxo de Caixa Orcamento FINAL_13052009" xfId="4935"/>
    <cellStyle name="s_RushValSum (2)_FM_dummyV4" xfId="4936"/>
    <cellStyle name="s_RushValSum (2)_lalur" xfId="4937"/>
    <cellStyle name="s_RushValSum (2)_Leasing_V3" xfId="4938"/>
    <cellStyle name="s_RushValSum (2)_MODELO PDP III" xfId="4939"/>
    <cellStyle name="s_RushValSum (2)_ORÇ_2009" xfId="4940"/>
    <cellStyle name="s_RushValSum (2)_Pasta2" xfId="4941"/>
    <cellStyle name="s_RushValSum (2)_Valuation Summary" xfId="4942"/>
    <cellStyle name="s_RushValSum (2)_Valuation Summary_Comparativo VP FIN v1_So 2008" xfId="8711"/>
    <cellStyle name="s_RushValSum (2)_Valuation Summary_Comparativo VP MKT 2008 v1_So 2008" xfId="8712"/>
    <cellStyle name="s_RushValSum (2)_Valuation Summary_Comparativo VP TEC 2008 v1_So 2008" xfId="8713"/>
    <cellStyle name="s_RushValSum (2)_Valuation Summary_Comparativo VP TEC 2008_Luiz Sergio" xfId="8714"/>
    <cellStyle name="s_RushValSum (2)_Valuation Summary_Cópia de Modelo - Fluxo de Caixa Orcamento 09052009_V36_3" xfId="4943"/>
    <cellStyle name="s_RushValSum (2)_Valuation Summary_Fluxo de Caixa Orcamento FINAL_13052009" xfId="4944"/>
    <cellStyle name="s_RushValSum (2)_Valuation Summary_FM_dummyV4" xfId="4945"/>
    <cellStyle name="s_RushValSum (2)_Valuation Summary_lalur" xfId="4946"/>
    <cellStyle name="s_RushValSum (2)_Valuation Summary_Leasing_V3" xfId="4947"/>
    <cellStyle name="s_RushValSum (2)_Valuation Summary_MODELO PDP III" xfId="4948"/>
    <cellStyle name="s_RushValSum (2)_Valuation Summary_ORÇ_2009" xfId="4949"/>
    <cellStyle name="s_RushValSum (2)_Valuation Summary_Pasta2" xfId="4950"/>
    <cellStyle name="s_S_By_S" xfId="4951"/>
    <cellStyle name="s_S_By_S_Comparativo VP FIN v1_So 2008" xfId="8715"/>
    <cellStyle name="s_S_By_S_Comparativo VP MKT 2008 v1_So 2008" xfId="8716"/>
    <cellStyle name="s_S_By_S_Comparativo VP TEC 2008 v1_So 2008" xfId="8717"/>
    <cellStyle name="s_S_By_S_Comparativo VP TEC 2008_Luiz Sergio" xfId="8718"/>
    <cellStyle name="s_S_By_S_Cópia de Modelo - Fluxo de Caixa Orcamento 09052009_V36_3" xfId="4952"/>
    <cellStyle name="s_S_By_S_Fluxo de Caixa Orcamento FINAL_13052009" xfId="4953"/>
    <cellStyle name="s_S_By_S_FM_dummyV4" xfId="4954"/>
    <cellStyle name="s_S_By_S_lalur" xfId="4955"/>
    <cellStyle name="s_S_By_S_Leasing_V3" xfId="4956"/>
    <cellStyle name="s_S_By_S_MODELO PDP III" xfId="4957"/>
    <cellStyle name="s_S_By_S_ORÇ_2009" xfId="4958"/>
    <cellStyle name="s_S_By_S_Pasta2" xfId="4959"/>
    <cellStyle name="s_S_By_S_Q2 pipeline" xfId="4960"/>
    <cellStyle name="s_S_By_S_Q2 pipeline 2" xfId="8719"/>
    <cellStyle name="s_S_By_S_Q2 pipeline_Cópia de Modelo - Fluxo de Caixa Orcamento 09052009_V36_3" xfId="4961"/>
    <cellStyle name="s_S_By_S_Q2 pipeline_Cópia de Modelo - Fluxo de Caixa Orcamento 09052009_V36_3 2" xfId="8720"/>
    <cellStyle name="s_S_By_S_Q2 pipeline_Fluxo de Caixa Orcamento FINAL_13052009" xfId="4962"/>
    <cellStyle name="s_S_By_S_Q2 pipeline_Fluxo de Caixa Orcamento FINAL_13052009 2" xfId="8721"/>
    <cellStyle name="s_S_By_S_Q2 pipeline_FM_dummyV4" xfId="4963"/>
    <cellStyle name="s_S_By_S_Q2 pipeline_lalur" xfId="4964"/>
    <cellStyle name="s_S_By_S_Q2 pipeline_Leasing_V3" xfId="4965"/>
    <cellStyle name="s_S_By_S_Q2 pipeline_MODELO PDP III" xfId="4966"/>
    <cellStyle name="s_S_By_S_Q2 pipeline_ORÇ_2009" xfId="4967"/>
    <cellStyle name="s_S_By_S_Q2 pipeline_ORÇ_2009 2" xfId="8722"/>
    <cellStyle name="s_S_By_S_Q2 pipeline_Pasta2" xfId="4968"/>
    <cellStyle name="s_S_By_S_Q2 pipeline_Pasta2 2" xfId="8723"/>
    <cellStyle name="s_Schedules" xfId="4969"/>
    <cellStyle name="s_Schedules_1" xfId="4970"/>
    <cellStyle name="s_Schedules_1_AM0909" xfId="4971"/>
    <cellStyle name="s_Schedules_1_AM0909_Comparativo VP FIN v1_So 2008" xfId="8724"/>
    <cellStyle name="s_Schedules_1_AM0909_Comparativo VP MKT 2008 v1_So 2008" xfId="8725"/>
    <cellStyle name="s_Schedules_1_AM0909_Comparativo VP TEC 2008 v1_So 2008" xfId="8726"/>
    <cellStyle name="s_Schedules_1_AM0909_Comparativo VP TEC 2008_Luiz Sergio" xfId="8727"/>
    <cellStyle name="s_Schedules_1_AM0909_Cópia de Modelo - Fluxo de Caixa Orcamento 09052009_V36_3" xfId="4972"/>
    <cellStyle name="s_Schedules_1_AM0909_Fluxo de Caixa Orcamento FINAL_13052009" xfId="4973"/>
    <cellStyle name="s_Schedules_1_AM0909_FM_dummyV4" xfId="4974"/>
    <cellStyle name="s_Schedules_1_AM0909_lalur" xfId="4975"/>
    <cellStyle name="s_Schedules_1_AM0909_Leasing_V3" xfId="4976"/>
    <cellStyle name="s_Schedules_1_AM0909_MODELO PDP III" xfId="4977"/>
    <cellStyle name="s_Schedules_1_AM0909_ORÇ_2009" xfId="4978"/>
    <cellStyle name="s_Schedules_1_AM0909_Pasta2" xfId="4979"/>
    <cellStyle name="s_Schedules_1_Brenner" xfId="4980"/>
    <cellStyle name="s_Schedules_1_Brenner_Comparativo VP FIN v1_So 2008" xfId="8728"/>
    <cellStyle name="s_Schedules_1_Brenner_Comparativo VP MKT 2008 v1_So 2008" xfId="8729"/>
    <cellStyle name="s_Schedules_1_Brenner_Comparativo VP TEC 2008 v1_So 2008" xfId="8730"/>
    <cellStyle name="s_Schedules_1_Brenner_Comparativo VP TEC 2008_Luiz Sergio" xfId="8731"/>
    <cellStyle name="s_Schedules_1_Brenner_Cópia de Modelo - Fluxo de Caixa Orcamento 09052009_V36_3" xfId="4981"/>
    <cellStyle name="s_Schedules_1_Brenner_Fluxo de Caixa Orcamento FINAL_13052009" xfId="4982"/>
    <cellStyle name="s_Schedules_1_Brenner_FM_dummyV4" xfId="4983"/>
    <cellStyle name="s_Schedules_1_Brenner_lalur" xfId="4984"/>
    <cellStyle name="s_Schedules_1_Brenner_Leasing_V3" xfId="4985"/>
    <cellStyle name="s_Schedules_1_Brenner_MODELO PDP III" xfId="4986"/>
    <cellStyle name="s_Schedules_1_Brenner_ORÇ_2009" xfId="4987"/>
    <cellStyle name="s_Schedules_1_Brenner_Pasta2" xfId="4988"/>
    <cellStyle name="s_Schedules_1_Comparativo VP FIN v1_So 2008" xfId="8732"/>
    <cellStyle name="s_Schedules_1_Comparativo VP MKT 2008 v1_So 2008" xfId="8733"/>
    <cellStyle name="s_Schedules_1_Comparativo VP TEC 2008 v1_So 2008" xfId="8734"/>
    <cellStyle name="s_Schedules_1_Comparativo VP TEC 2008_Luiz Sergio" xfId="8735"/>
    <cellStyle name="s_Schedules_1_Cópia de Modelo - Fluxo de Caixa Orcamento 09052009_V36_3" xfId="4989"/>
    <cellStyle name="s_Schedules_1_Fluxo de Caixa Orcamento FINAL_13052009" xfId="4990"/>
    <cellStyle name="s_Schedules_1_FM_dummyV4" xfId="4991"/>
    <cellStyle name="s_Schedules_1_lalur" xfId="4992"/>
    <cellStyle name="s_Schedules_1_Leasing_V3" xfId="4993"/>
    <cellStyle name="s_Schedules_1_MODELO PDP III" xfId="4994"/>
    <cellStyle name="s_Schedules_1_ORÇ_2009" xfId="4995"/>
    <cellStyle name="s_Schedules_1_Pasta2" xfId="4996"/>
    <cellStyle name="s_Schedules_2" xfId="4997"/>
    <cellStyle name="s_Schedules_2_Comparativo VP FIN v1_So 2008" xfId="8736"/>
    <cellStyle name="s_Schedules_2_Comparativo VP MKT 2008 v1_So 2008" xfId="8737"/>
    <cellStyle name="s_Schedules_2_Comparativo VP TEC 2008 v1_So 2008" xfId="8738"/>
    <cellStyle name="s_Schedules_2_Comparativo VP TEC 2008_Luiz Sergio" xfId="8739"/>
    <cellStyle name="s_Schedules_2_Cópia de Modelo - Fluxo de Caixa Orcamento 09052009_V36_3" xfId="4998"/>
    <cellStyle name="s_Schedules_2_Fluxo de Caixa Orcamento FINAL_13052009" xfId="4999"/>
    <cellStyle name="s_Schedules_2_FM_dummyV4" xfId="5000"/>
    <cellStyle name="s_Schedules_2_lalur" xfId="5001"/>
    <cellStyle name="s_Schedules_2_Leasing_V3" xfId="5002"/>
    <cellStyle name="s_Schedules_2_MODELO PDP III" xfId="5003"/>
    <cellStyle name="s_Schedules_2_ORÇ_2009" xfId="5004"/>
    <cellStyle name="s_Schedules_2_Pasta2" xfId="5005"/>
    <cellStyle name="s_Schedules_AM0909" xfId="5006"/>
    <cellStyle name="s_Schedules_AM0909_Comparativo VP FIN v1_So 2008" xfId="8740"/>
    <cellStyle name="s_Schedules_AM0909_Comparativo VP MKT 2008 v1_So 2008" xfId="8741"/>
    <cellStyle name="s_Schedules_AM0909_Comparativo VP TEC 2008 v1_So 2008" xfId="8742"/>
    <cellStyle name="s_Schedules_AM0909_Comparativo VP TEC 2008_Luiz Sergio" xfId="8743"/>
    <cellStyle name="s_Schedules_AM0909_Cópia de Modelo - Fluxo de Caixa Orcamento 09052009_V36_3" xfId="5007"/>
    <cellStyle name="s_Schedules_AM0909_Fluxo de Caixa Orcamento FINAL_13052009" xfId="5008"/>
    <cellStyle name="s_Schedules_AM0909_FM_dummyV4" xfId="5009"/>
    <cellStyle name="s_Schedules_AM0909_lalur" xfId="5010"/>
    <cellStyle name="s_Schedules_AM0909_Leasing_V3" xfId="5011"/>
    <cellStyle name="s_Schedules_AM0909_MODELO PDP III" xfId="5012"/>
    <cellStyle name="s_Schedules_AM0909_ORÇ_2009" xfId="5013"/>
    <cellStyle name="s_Schedules_AM0909_Pasta2" xfId="5014"/>
    <cellStyle name="s_Schedules_Brenner" xfId="5015"/>
    <cellStyle name="s_Schedules_Brenner_Comparativo VP FIN v1_So 2008" xfId="8744"/>
    <cellStyle name="s_Schedules_Brenner_Comparativo VP MKT 2008 v1_So 2008" xfId="8745"/>
    <cellStyle name="s_Schedules_Brenner_Comparativo VP TEC 2008 v1_So 2008" xfId="8746"/>
    <cellStyle name="s_Schedules_Brenner_Comparativo VP TEC 2008_Luiz Sergio" xfId="8747"/>
    <cellStyle name="s_Schedules_Brenner_Cópia de Modelo - Fluxo de Caixa Orcamento 09052009_V36_3" xfId="5016"/>
    <cellStyle name="s_Schedules_Brenner_Fluxo de Caixa Orcamento FINAL_13052009" xfId="5017"/>
    <cellStyle name="s_Schedules_Brenner_FM_dummyV4" xfId="5018"/>
    <cellStyle name="s_Schedules_Brenner_lalur" xfId="5019"/>
    <cellStyle name="s_Schedules_Brenner_Leasing_V3" xfId="5020"/>
    <cellStyle name="s_Schedules_Brenner_MODELO PDP III" xfId="5021"/>
    <cellStyle name="s_Schedules_Brenner_ORÇ_2009" xfId="5022"/>
    <cellStyle name="s_Schedules_Brenner_Pasta2" xfId="5023"/>
    <cellStyle name="s_Schedules_Comparativo VP FIN v1_So 2008" xfId="8748"/>
    <cellStyle name="s_Schedules_Comparativo VP MKT 2008 v1_So 2008" xfId="8749"/>
    <cellStyle name="s_Schedules_Comparativo VP TEC 2008 v1_So 2008" xfId="8750"/>
    <cellStyle name="s_Schedules_Comparativo VP TEC 2008_Luiz Sergio" xfId="8751"/>
    <cellStyle name="s_Schedules_Cópia de Modelo - Fluxo de Caixa Orcamento 09052009_V36_3" xfId="5024"/>
    <cellStyle name="s_Schedules_Fluxo de Caixa Orcamento FINAL_13052009" xfId="5025"/>
    <cellStyle name="s_Schedules_FM_dummyV4" xfId="5026"/>
    <cellStyle name="s_Schedules_lalur" xfId="5027"/>
    <cellStyle name="s_Schedules_Leasing_V3" xfId="5028"/>
    <cellStyle name="s_Schedules_MODELO PDP III" xfId="5029"/>
    <cellStyle name="s_Schedules_ORÇ_2009" xfId="5030"/>
    <cellStyle name="s_Schedules_Pasta2" xfId="5031"/>
    <cellStyle name="s_Sheet5" xfId="5032"/>
    <cellStyle name="s_Sheet5_Comparativo VP FIN v1_So 2008" xfId="8752"/>
    <cellStyle name="s_Sheet5_Comparativo VP MKT 2008 v1_So 2008" xfId="8753"/>
    <cellStyle name="s_Sheet5_Comparativo VP TEC 2008 v1_So 2008" xfId="8754"/>
    <cellStyle name="s_Sheet5_Comparativo VP TEC 2008_Luiz Sergio" xfId="8755"/>
    <cellStyle name="s_Sheet5_Cópia de Modelo - Fluxo de Caixa Orcamento 09052009_V36_3" xfId="5033"/>
    <cellStyle name="s_Sheet5_Fluxo de Caixa Orcamento FINAL_13052009" xfId="5034"/>
    <cellStyle name="s_Sheet5_FM_dummyV4" xfId="5035"/>
    <cellStyle name="s_Sheet5_lalur" xfId="5036"/>
    <cellStyle name="s_Sheet5_Leasing_V3" xfId="5037"/>
    <cellStyle name="s_Sheet5_MODELO PDP III" xfId="5038"/>
    <cellStyle name="s_Sheet5_ORÇ_2009" xfId="5039"/>
    <cellStyle name="s_Sheet5_Pasta2" xfId="5040"/>
    <cellStyle name="s_Sheet5_Q2 pipeline" xfId="5041"/>
    <cellStyle name="s_Sheet5_Q2 pipeline 2" xfId="8756"/>
    <cellStyle name="s_Sheet5_Q2 pipeline_Cópia de Modelo - Fluxo de Caixa Orcamento 09052009_V36_3" xfId="5042"/>
    <cellStyle name="s_Sheet5_Q2 pipeline_Cópia de Modelo - Fluxo de Caixa Orcamento 09052009_V36_3 2" xfId="8757"/>
    <cellStyle name="s_Sheet5_Q2 pipeline_Fluxo de Caixa Orcamento FINAL_13052009" xfId="5043"/>
    <cellStyle name="s_Sheet5_Q2 pipeline_Fluxo de Caixa Orcamento FINAL_13052009 2" xfId="8758"/>
    <cellStyle name="s_Sheet5_Q2 pipeline_FM_dummyV4" xfId="5044"/>
    <cellStyle name="s_Sheet5_Q2 pipeline_lalur" xfId="5045"/>
    <cellStyle name="s_Sheet5_Q2 pipeline_Leasing_V3" xfId="5046"/>
    <cellStyle name="s_Sheet5_Q2 pipeline_MODELO PDP III" xfId="5047"/>
    <cellStyle name="s_Sheet5_Q2 pipeline_ORÇ_2009" xfId="5048"/>
    <cellStyle name="s_Sheet5_Q2 pipeline_ORÇ_2009 2" xfId="8759"/>
    <cellStyle name="s_Sheet5_Q2 pipeline_Pasta2" xfId="5049"/>
    <cellStyle name="s_Sheet5_Q2 pipeline_Pasta2 2" xfId="8760"/>
    <cellStyle name="s_Standalone" xfId="5050"/>
    <cellStyle name="s_Standalone_1" xfId="5051"/>
    <cellStyle name="s_Standalone_1_Comparativo VP FIN v1_So 2008" xfId="8761"/>
    <cellStyle name="s_Standalone_1_Comparativo VP MKT 2008 v1_So 2008" xfId="8762"/>
    <cellStyle name="s_Standalone_1_Comparativo VP TEC 2008 v1_So 2008" xfId="8763"/>
    <cellStyle name="s_Standalone_1_Comparativo VP TEC 2008_Luiz Sergio" xfId="8764"/>
    <cellStyle name="s_Standalone_1_Cópia de Modelo - Fluxo de Caixa Orcamento 09052009_V36_3" xfId="5052"/>
    <cellStyle name="s_Standalone_1_Fluxo de Caixa Orcamento FINAL_13052009" xfId="5053"/>
    <cellStyle name="s_Standalone_1_FM_dummyV4" xfId="5054"/>
    <cellStyle name="s_Standalone_1_lalur" xfId="5055"/>
    <cellStyle name="s_Standalone_1_Leasing_V3" xfId="5056"/>
    <cellStyle name="s_Standalone_1_MODELO PDP III" xfId="5057"/>
    <cellStyle name="s_Standalone_1_ORÇ_2009" xfId="5058"/>
    <cellStyle name="s_Standalone_1_Pasta2" xfId="5059"/>
    <cellStyle name="s_Standalone_2" xfId="5060"/>
    <cellStyle name="s_Standalone_2_Comparativo VP FIN v1_So 2008" xfId="8765"/>
    <cellStyle name="s_Standalone_2_Comparativo VP MKT 2008 v1_So 2008" xfId="8766"/>
    <cellStyle name="s_Standalone_2_Comparativo VP TEC 2008 v1_So 2008" xfId="8767"/>
    <cellStyle name="s_Standalone_2_Comparativo VP TEC 2008_Luiz Sergio" xfId="8768"/>
    <cellStyle name="s_Standalone_2_Cópia de Modelo - Fluxo de Caixa Orcamento 09052009_V36_3" xfId="5061"/>
    <cellStyle name="s_Standalone_2_Fluxo de Caixa Orcamento FINAL_13052009" xfId="5062"/>
    <cellStyle name="s_Standalone_2_FM_dummyV4" xfId="5063"/>
    <cellStyle name="s_Standalone_2_lalur" xfId="5064"/>
    <cellStyle name="s_Standalone_2_Leasing_V3" xfId="5065"/>
    <cellStyle name="s_Standalone_2_MODELO PDP III" xfId="5066"/>
    <cellStyle name="s_Standalone_2_ORÇ_2009" xfId="5067"/>
    <cellStyle name="s_Standalone_2_Pasta2" xfId="5068"/>
    <cellStyle name="s_Standalone_Comparativo VP FIN v1_So 2008" xfId="8769"/>
    <cellStyle name="s_Standalone_Comparativo VP MKT 2008 v1_So 2008" xfId="8770"/>
    <cellStyle name="s_Standalone_Comparativo VP TEC 2008 v1_So 2008" xfId="8771"/>
    <cellStyle name="s_Standalone_Comparativo VP TEC 2008_Luiz Sergio" xfId="8772"/>
    <cellStyle name="s_Standalone_Cópia de Modelo - Fluxo de Caixa Orcamento 09052009_V36_3" xfId="5069"/>
    <cellStyle name="s_Standalone_Fluxo de Caixa Orcamento FINAL_13052009" xfId="5070"/>
    <cellStyle name="s_Standalone_FM_dummyV4" xfId="5071"/>
    <cellStyle name="s_Standalone_lalur" xfId="5072"/>
    <cellStyle name="s_Standalone_Leasing_V3" xfId="5073"/>
    <cellStyle name="s_Standalone_MODELO PDP III" xfId="5074"/>
    <cellStyle name="s_Standalone_ORÇ_2009" xfId="5075"/>
    <cellStyle name="s_Standalone_Pasta2" xfId="5076"/>
    <cellStyle name="s_Statement Sky - Finance" xfId="5077"/>
    <cellStyle name="s_Stub Value" xfId="5078"/>
    <cellStyle name="s_Stub Value_1" xfId="5079"/>
    <cellStyle name="s_Stub Value_1_Comparativo VP FIN v1_So 2008" xfId="8773"/>
    <cellStyle name="s_Stub Value_1_Comparativo VP MKT 2008 v1_So 2008" xfId="8774"/>
    <cellStyle name="s_Stub Value_1_Comparativo VP TEC 2008 v1_So 2008" xfId="8775"/>
    <cellStyle name="s_Stub Value_1_Comparativo VP TEC 2008_Luiz Sergio" xfId="8776"/>
    <cellStyle name="s_Stub Value_1_Cópia de Modelo - Fluxo de Caixa Orcamento 09052009_V36_3" xfId="5080"/>
    <cellStyle name="s_Stub Value_1_Fluxo de Caixa Orcamento FINAL_13052009" xfId="5081"/>
    <cellStyle name="s_Stub Value_1_FM_dummyV4" xfId="5082"/>
    <cellStyle name="s_Stub Value_1_lalur" xfId="5083"/>
    <cellStyle name="s_Stub Value_1_Leasing_V3" xfId="5084"/>
    <cellStyle name="s_Stub Value_1_MODELO PDP III" xfId="5085"/>
    <cellStyle name="s_Stub Value_1_ORÇ_2009" xfId="5086"/>
    <cellStyle name="s_Stub Value_1_Pasta2" xfId="5087"/>
    <cellStyle name="s_Stub Value_Comparativo VP FIN v1_So 2008" xfId="8777"/>
    <cellStyle name="s_Stub Value_Comparativo VP MKT 2008 v1_So 2008" xfId="8778"/>
    <cellStyle name="s_Stub Value_Comparativo VP TEC 2008 v1_So 2008" xfId="8779"/>
    <cellStyle name="s_Stub Value_Comparativo VP TEC 2008_Luiz Sergio" xfId="8780"/>
    <cellStyle name="s_Stub Value_Cópia de Modelo - Fluxo de Caixa Orcamento 09052009_V36_3" xfId="5088"/>
    <cellStyle name="s_Stub Value_Fluxo de Caixa Orcamento FINAL_13052009" xfId="5089"/>
    <cellStyle name="s_Stub Value_FM_dummyV4" xfId="5090"/>
    <cellStyle name="s_Stub Value_lalur" xfId="5091"/>
    <cellStyle name="s_Stub Value_Leasing_V3" xfId="5092"/>
    <cellStyle name="s_Stub Value_MODELO PDP III" xfId="5093"/>
    <cellStyle name="s_Stub Value_ORÇ_2009" xfId="5094"/>
    <cellStyle name="s_Stub Value_Pasta2" xfId="5095"/>
    <cellStyle name="s_Summary of Pro Forma (2)" xfId="5096"/>
    <cellStyle name="s_Summary of Pro Forma (2)_1" xfId="5097"/>
    <cellStyle name="s_Summary of Pro Forma (2)_1_Comparativo VP FIN v1_So 2008" xfId="8781"/>
    <cellStyle name="s_Summary of Pro Forma (2)_1_Comparativo VP MKT 2008 v1_So 2008" xfId="8782"/>
    <cellStyle name="s_Summary of Pro Forma (2)_1_Comparativo VP TEC 2008 v1_So 2008" xfId="8783"/>
    <cellStyle name="s_Summary of Pro Forma (2)_1_Comparativo VP TEC 2008_Luiz Sergio" xfId="8784"/>
    <cellStyle name="s_Summary of Pro Forma (2)_1_Cópia de Modelo - Fluxo de Caixa Orcamento 09052009_V36_3" xfId="5098"/>
    <cellStyle name="s_Summary of Pro Forma (2)_1_Fluxo de Caixa Orcamento FINAL_13052009" xfId="5099"/>
    <cellStyle name="s_Summary of Pro Forma (2)_1_FM_dummyV4" xfId="5100"/>
    <cellStyle name="s_Summary of Pro Forma (2)_1_lalur" xfId="5101"/>
    <cellStyle name="s_Summary of Pro Forma (2)_1_Leasing_V3" xfId="5102"/>
    <cellStyle name="s_Summary of Pro Forma (2)_1_MODELO PDP III" xfId="5103"/>
    <cellStyle name="s_Summary of Pro Forma (2)_1_ORÇ_2009" xfId="5104"/>
    <cellStyle name="s_Summary of Pro Forma (2)_1_Pasta2" xfId="5105"/>
    <cellStyle name="s_Summary of Pro Forma (2)_2" xfId="5106"/>
    <cellStyle name="s_Summary of Pro Forma (2)_2_Comparativo VP FIN v1_So 2008" xfId="8785"/>
    <cellStyle name="s_Summary of Pro Forma (2)_2_Comparativo VP MKT 2008 v1_So 2008" xfId="8786"/>
    <cellStyle name="s_Summary of Pro Forma (2)_2_Comparativo VP TEC 2008 v1_So 2008" xfId="8787"/>
    <cellStyle name="s_Summary of Pro Forma (2)_2_Comparativo VP TEC 2008_Luiz Sergio" xfId="8788"/>
    <cellStyle name="s_Summary of Pro Forma (2)_2_Cópia de Modelo - Fluxo de Caixa Orcamento 09052009_V36_3" xfId="5107"/>
    <cellStyle name="s_Summary of Pro Forma (2)_2_Fluxo de Caixa Orcamento FINAL_13052009" xfId="5108"/>
    <cellStyle name="s_Summary of Pro Forma (2)_2_FM_dummyV4" xfId="5109"/>
    <cellStyle name="s_Summary of Pro Forma (2)_2_lalur" xfId="5110"/>
    <cellStyle name="s_Summary of Pro Forma (2)_2_Leasing_V3" xfId="5111"/>
    <cellStyle name="s_Summary of Pro Forma (2)_2_MODELO PDP III" xfId="5112"/>
    <cellStyle name="s_Summary of Pro Forma (2)_2_ORÇ_2009" xfId="5113"/>
    <cellStyle name="s_Summary of Pro Forma (2)_2_Pasta2" xfId="5114"/>
    <cellStyle name="s_Summary of Pro Forma (2)_Celtic DCF" xfId="5115"/>
    <cellStyle name="s_Summary of Pro Forma (2)_Celtic DCF Inputs" xfId="5116"/>
    <cellStyle name="s_Summary of Pro Forma (2)_Celtic DCF Inputs_Comparativo VP FIN v1_So 2008" xfId="8789"/>
    <cellStyle name="s_Summary of Pro Forma (2)_Celtic DCF Inputs_Comparativo VP MKT 2008 v1_So 2008" xfId="8790"/>
    <cellStyle name="s_Summary of Pro Forma (2)_Celtic DCF Inputs_Comparativo VP TEC 2008 v1_So 2008" xfId="8791"/>
    <cellStyle name="s_Summary of Pro Forma (2)_Celtic DCF Inputs_Comparativo VP TEC 2008_Luiz Sergio" xfId="8792"/>
    <cellStyle name="s_Summary of Pro Forma (2)_Celtic DCF Inputs_Cópia de Modelo - Fluxo de Caixa Orcamento 09052009_V36_3" xfId="5117"/>
    <cellStyle name="s_Summary of Pro Forma (2)_Celtic DCF Inputs_Fluxo de Caixa Orcamento FINAL_13052009" xfId="5118"/>
    <cellStyle name="s_Summary of Pro Forma (2)_Celtic DCF Inputs_FM_dummyV4" xfId="5119"/>
    <cellStyle name="s_Summary of Pro Forma (2)_Celtic DCF Inputs_lalur" xfId="5120"/>
    <cellStyle name="s_Summary of Pro Forma (2)_Celtic DCF Inputs_Leasing_V3" xfId="5121"/>
    <cellStyle name="s_Summary of Pro Forma (2)_Celtic DCF Inputs_MODELO PDP III" xfId="5122"/>
    <cellStyle name="s_Summary of Pro Forma (2)_Celtic DCF Inputs_ORÇ_2009" xfId="5123"/>
    <cellStyle name="s_Summary of Pro Forma (2)_Celtic DCF Inputs_Pasta2" xfId="5124"/>
    <cellStyle name="s_Summary of Pro Forma (2)_Celtic DCF_Comparativo VP FIN v1_So 2008" xfId="8793"/>
    <cellStyle name="s_Summary of Pro Forma (2)_Celtic DCF_Comparativo VP MKT 2008 v1_So 2008" xfId="8794"/>
    <cellStyle name="s_Summary of Pro Forma (2)_Celtic DCF_Comparativo VP TEC 2008 v1_So 2008" xfId="8795"/>
    <cellStyle name="s_Summary of Pro Forma (2)_Celtic DCF_Comparativo VP TEC 2008_Luiz Sergio" xfId="8796"/>
    <cellStyle name="s_Summary of Pro Forma (2)_Celtic DCF_Cópia de Modelo - Fluxo de Caixa Orcamento 09052009_V36_3" xfId="5125"/>
    <cellStyle name="s_Summary of Pro Forma (2)_Celtic DCF_Fluxo de Caixa Orcamento FINAL_13052009" xfId="5126"/>
    <cellStyle name="s_Summary of Pro Forma (2)_Celtic DCF_FM_dummyV4" xfId="5127"/>
    <cellStyle name="s_Summary of Pro Forma (2)_Celtic DCF_lalur" xfId="5128"/>
    <cellStyle name="s_Summary of Pro Forma (2)_Celtic DCF_Leasing_V3" xfId="5129"/>
    <cellStyle name="s_Summary of Pro Forma (2)_Celtic DCF_MODELO PDP III" xfId="5130"/>
    <cellStyle name="s_Summary of Pro Forma (2)_Celtic DCF_ORÇ_2009" xfId="5131"/>
    <cellStyle name="s_Summary of Pro Forma (2)_Celtic DCF_Pasta2" xfId="5132"/>
    <cellStyle name="s_Summary of Pro Forma (2)_Comparativo VP FIN v1_So 2008" xfId="8797"/>
    <cellStyle name="s_Summary of Pro Forma (2)_Comparativo VP MKT 2008 v1_So 2008" xfId="8798"/>
    <cellStyle name="s_Summary of Pro Forma (2)_Comparativo VP TEC 2008 v1_So 2008" xfId="8799"/>
    <cellStyle name="s_Summary of Pro Forma (2)_Comparativo VP TEC 2008_Luiz Sergio" xfId="8800"/>
    <cellStyle name="s_Summary of Pro Forma (2)_Cópia de Modelo - Fluxo de Caixa Orcamento 09052009_V36_3" xfId="5133"/>
    <cellStyle name="s_Summary of Pro Forma (2)_Fluxo de Caixa Orcamento FINAL_13052009" xfId="5134"/>
    <cellStyle name="s_Summary of Pro Forma (2)_FM_dummyV4" xfId="5135"/>
    <cellStyle name="s_Summary of Pro Forma (2)_lalur" xfId="5136"/>
    <cellStyle name="s_Summary of Pro Forma (2)_Leasing_V3" xfId="5137"/>
    <cellStyle name="s_Summary of Pro Forma (2)_MODELO PDP III" xfId="5138"/>
    <cellStyle name="s_Summary of Pro Forma (2)_ORÇ_2009" xfId="5139"/>
    <cellStyle name="s_Summary of Pro Forma (2)_Pasta2" xfId="5140"/>
    <cellStyle name="s_Summary of Pro Forma (2)_Valuation Summary" xfId="5141"/>
    <cellStyle name="s_Summary of Pro Forma (2)_Valuation Summary_Comparativo VP FIN v1_So 2008" xfId="8801"/>
    <cellStyle name="s_Summary of Pro Forma (2)_Valuation Summary_Comparativo VP MKT 2008 v1_So 2008" xfId="8802"/>
    <cellStyle name="s_Summary of Pro Forma (2)_Valuation Summary_Comparativo VP TEC 2008 v1_So 2008" xfId="8803"/>
    <cellStyle name="s_Summary of Pro Forma (2)_Valuation Summary_Comparativo VP TEC 2008_Luiz Sergio" xfId="8804"/>
    <cellStyle name="s_Summary of Pro Forma (2)_Valuation Summary_Cópia de Modelo - Fluxo de Caixa Orcamento 09052009_V36_3" xfId="5142"/>
    <cellStyle name="s_Summary of Pro Forma (2)_Valuation Summary_Fluxo de Caixa Orcamento FINAL_13052009" xfId="5143"/>
    <cellStyle name="s_Summary of Pro Forma (2)_Valuation Summary_FM_dummyV4" xfId="5144"/>
    <cellStyle name="s_Summary of Pro Forma (2)_Valuation Summary_lalur" xfId="5145"/>
    <cellStyle name="s_Summary of Pro Forma (2)_Valuation Summary_Leasing_V3" xfId="5146"/>
    <cellStyle name="s_Summary of Pro Forma (2)_Valuation Summary_MODELO PDP III" xfId="5147"/>
    <cellStyle name="s_Summary of Pro Forma (2)_Valuation Summary_ORÇ_2009" xfId="5148"/>
    <cellStyle name="s_Summary of Pro Forma (2)_Valuation Summary_Pasta2" xfId="5149"/>
    <cellStyle name="s_Summary of Pro Forma (3)" xfId="5150"/>
    <cellStyle name="s_Summary of Pro Forma (3)_1" xfId="5151"/>
    <cellStyle name="s_Summary of Pro Forma (3)_1_Comparativo VP FIN v1_So 2008" xfId="8805"/>
    <cellStyle name="s_Summary of Pro Forma (3)_1_Comparativo VP MKT 2008 v1_So 2008" xfId="8806"/>
    <cellStyle name="s_Summary of Pro Forma (3)_1_Comparativo VP TEC 2008 v1_So 2008" xfId="8807"/>
    <cellStyle name="s_Summary of Pro Forma (3)_1_Comparativo VP TEC 2008_Luiz Sergio" xfId="8808"/>
    <cellStyle name="s_Summary of Pro Forma (3)_1_Cópia de Modelo - Fluxo de Caixa Orcamento 09052009_V36_3" xfId="5152"/>
    <cellStyle name="s_Summary of Pro Forma (3)_1_Fluxo de Caixa Orcamento FINAL_13052009" xfId="5153"/>
    <cellStyle name="s_Summary of Pro Forma (3)_1_FM_dummyV4" xfId="5154"/>
    <cellStyle name="s_Summary of Pro Forma (3)_1_lalur" xfId="5155"/>
    <cellStyle name="s_Summary of Pro Forma (3)_1_Leasing_V3" xfId="5156"/>
    <cellStyle name="s_Summary of Pro Forma (3)_1_MODELO PDP III" xfId="5157"/>
    <cellStyle name="s_Summary of Pro Forma (3)_1_ORÇ_2009" xfId="5158"/>
    <cellStyle name="s_Summary of Pro Forma (3)_1_Pasta2" xfId="5159"/>
    <cellStyle name="s_Summary of Pro Forma (3)_Celtic DCF" xfId="5160"/>
    <cellStyle name="s_Summary of Pro Forma (3)_Celtic DCF Inputs" xfId="5161"/>
    <cellStyle name="s_Summary of Pro Forma (3)_Celtic DCF Inputs_Comparativo VP FIN v1_So 2008" xfId="8809"/>
    <cellStyle name="s_Summary of Pro Forma (3)_Celtic DCF Inputs_Comparativo VP MKT 2008 v1_So 2008" xfId="8810"/>
    <cellStyle name="s_Summary of Pro Forma (3)_Celtic DCF Inputs_Comparativo VP TEC 2008 v1_So 2008" xfId="8811"/>
    <cellStyle name="s_Summary of Pro Forma (3)_Celtic DCF Inputs_Comparativo VP TEC 2008_Luiz Sergio" xfId="8812"/>
    <cellStyle name="s_Summary of Pro Forma (3)_Celtic DCF Inputs_Cópia de Modelo - Fluxo de Caixa Orcamento 09052009_V36_3" xfId="5162"/>
    <cellStyle name="s_Summary of Pro Forma (3)_Celtic DCF Inputs_Fluxo de Caixa Orcamento FINAL_13052009" xfId="5163"/>
    <cellStyle name="s_Summary of Pro Forma (3)_Celtic DCF Inputs_FM_dummyV4" xfId="5164"/>
    <cellStyle name="s_Summary of Pro Forma (3)_Celtic DCF Inputs_lalur" xfId="5165"/>
    <cellStyle name="s_Summary of Pro Forma (3)_Celtic DCF Inputs_Leasing_V3" xfId="5166"/>
    <cellStyle name="s_Summary of Pro Forma (3)_Celtic DCF Inputs_MODELO PDP III" xfId="5167"/>
    <cellStyle name="s_Summary of Pro Forma (3)_Celtic DCF Inputs_ORÇ_2009" xfId="5168"/>
    <cellStyle name="s_Summary of Pro Forma (3)_Celtic DCF Inputs_Pasta2" xfId="5169"/>
    <cellStyle name="s_Summary of Pro Forma (3)_Celtic DCF_Comparativo VP FIN v1_So 2008" xfId="8813"/>
    <cellStyle name="s_Summary of Pro Forma (3)_Celtic DCF_Comparativo VP MKT 2008 v1_So 2008" xfId="8814"/>
    <cellStyle name="s_Summary of Pro Forma (3)_Celtic DCF_Comparativo VP TEC 2008 v1_So 2008" xfId="8815"/>
    <cellStyle name="s_Summary of Pro Forma (3)_Celtic DCF_Comparativo VP TEC 2008_Luiz Sergio" xfId="8816"/>
    <cellStyle name="s_Summary of Pro Forma (3)_Celtic DCF_Cópia de Modelo - Fluxo de Caixa Orcamento 09052009_V36_3" xfId="5170"/>
    <cellStyle name="s_Summary of Pro Forma (3)_Celtic DCF_Fluxo de Caixa Orcamento FINAL_13052009" xfId="5171"/>
    <cellStyle name="s_Summary of Pro Forma (3)_Celtic DCF_FM_dummyV4" xfId="5172"/>
    <cellStyle name="s_Summary of Pro Forma (3)_Celtic DCF_lalur" xfId="5173"/>
    <cellStyle name="s_Summary of Pro Forma (3)_Celtic DCF_Leasing_V3" xfId="5174"/>
    <cellStyle name="s_Summary of Pro Forma (3)_Celtic DCF_MODELO PDP III" xfId="5175"/>
    <cellStyle name="s_Summary of Pro Forma (3)_Celtic DCF_ORÇ_2009" xfId="5176"/>
    <cellStyle name="s_Summary of Pro Forma (3)_Celtic DCF_Pasta2" xfId="5177"/>
    <cellStyle name="s_Summary of Pro Forma (3)_Comparativo VP FIN v1_So 2008" xfId="8817"/>
    <cellStyle name="s_Summary of Pro Forma (3)_Comparativo VP MKT 2008 v1_So 2008" xfId="8818"/>
    <cellStyle name="s_Summary of Pro Forma (3)_Comparativo VP TEC 2008 v1_So 2008" xfId="8819"/>
    <cellStyle name="s_Summary of Pro Forma (3)_Comparativo VP TEC 2008_Luiz Sergio" xfId="8820"/>
    <cellStyle name="s_Summary of Pro Forma (3)_Cópia de Modelo - Fluxo de Caixa Orcamento 09052009_V36_3" xfId="5178"/>
    <cellStyle name="s_Summary of Pro Forma (3)_Fluxo de Caixa Orcamento FINAL_13052009" xfId="5179"/>
    <cellStyle name="s_Summary of Pro Forma (3)_FM_dummyV4" xfId="5180"/>
    <cellStyle name="s_Summary of Pro Forma (3)_lalur" xfId="5181"/>
    <cellStyle name="s_Summary of Pro Forma (3)_Leasing_V3" xfId="5182"/>
    <cellStyle name="s_Summary of Pro Forma (3)_MODELO PDP III" xfId="5183"/>
    <cellStyle name="s_Summary of Pro Forma (3)_ORÇ_2009" xfId="5184"/>
    <cellStyle name="s_Summary of Pro Forma (3)_Pasta2" xfId="5185"/>
    <cellStyle name="s_Summary of Pro Forma (3)_Valuation Summary" xfId="5186"/>
    <cellStyle name="s_Summary of Pro Forma (3)_Valuation Summary_Comparativo VP FIN v1_So 2008" xfId="8821"/>
    <cellStyle name="s_Summary of Pro Forma (3)_Valuation Summary_Comparativo VP MKT 2008 v1_So 2008" xfId="8822"/>
    <cellStyle name="s_Summary of Pro Forma (3)_Valuation Summary_Comparativo VP TEC 2008 v1_So 2008" xfId="8823"/>
    <cellStyle name="s_Summary of Pro Forma (3)_Valuation Summary_Comparativo VP TEC 2008_Luiz Sergio" xfId="8824"/>
    <cellStyle name="s_Summary of Pro Forma (3)_Valuation Summary_Cópia de Modelo - Fluxo de Caixa Orcamento 09052009_V36_3" xfId="5187"/>
    <cellStyle name="s_Summary of Pro Forma (3)_Valuation Summary_Fluxo de Caixa Orcamento FINAL_13052009" xfId="5188"/>
    <cellStyle name="s_Summary of Pro Forma (3)_Valuation Summary_FM_dummyV4" xfId="5189"/>
    <cellStyle name="s_Summary of Pro Forma (3)_Valuation Summary_lalur" xfId="5190"/>
    <cellStyle name="s_Summary of Pro Forma (3)_Valuation Summary_Leasing_V3" xfId="5191"/>
    <cellStyle name="s_Summary of Pro Forma (3)_Valuation Summary_MODELO PDP III" xfId="5192"/>
    <cellStyle name="s_Summary of Pro Forma (3)_Valuation Summary_ORÇ_2009" xfId="5193"/>
    <cellStyle name="s_Summary of Pro Forma (3)_Valuation Summary_Pasta2" xfId="5194"/>
    <cellStyle name="s_Texas_Louisiana (2)" xfId="5195"/>
    <cellStyle name="s_Texas_Louisiana (2)_1" xfId="5196"/>
    <cellStyle name="s_Texas_Louisiana (2)_1_Comparativo VP FIN v1_So 2008" xfId="8825"/>
    <cellStyle name="s_Texas_Louisiana (2)_1_Comparativo VP MKT 2008 v1_So 2008" xfId="8826"/>
    <cellStyle name="s_Texas_Louisiana (2)_1_Comparativo VP TEC 2008 v1_So 2008" xfId="8827"/>
    <cellStyle name="s_Texas_Louisiana (2)_1_Comparativo VP TEC 2008_Luiz Sergio" xfId="8828"/>
    <cellStyle name="s_Texas_Louisiana (2)_1_Cópia de Modelo - Fluxo de Caixa Orcamento 09052009_V36_3" xfId="5197"/>
    <cellStyle name="s_Texas_Louisiana (2)_1_Fluxo de Caixa Orcamento FINAL_13052009" xfId="5198"/>
    <cellStyle name="s_Texas_Louisiana (2)_1_FM_dummyV4" xfId="5199"/>
    <cellStyle name="s_Texas_Louisiana (2)_1_lalur" xfId="5200"/>
    <cellStyle name="s_Texas_Louisiana (2)_1_Leasing_V3" xfId="5201"/>
    <cellStyle name="s_Texas_Louisiana (2)_1_MODELO PDP III" xfId="5202"/>
    <cellStyle name="s_Texas_Louisiana (2)_1_ORÇ_2009" xfId="5203"/>
    <cellStyle name="s_Texas_Louisiana (2)_1_Pasta2" xfId="5204"/>
    <cellStyle name="s_Texas_Louisiana (2)_Comparativo VP FIN v1_So 2008" xfId="8829"/>
    <cellStyle name="s_Texas_Louisiana (2)_Comparativo VP MKT 2008 v1_So 2008" xfId="8830"/>
    <cellStyle name="s_Texas_Louisiana (2)_Comparativo VP TEC 2008 v1_So 2008" xfId="8831"/>
    <cellStyle name="s_Texas_Louisiana (2)_Comparativo VP TEC 2008_Luiz Sergio" xfId="8832"/>
    <cellStyle name="s_Texas_Louisiana (2)_Cópia de Modelo - Fluxo de Caixa Orcamento 09052009_V36_3" xfId="5205"/>
    <cellStyle name="s_Texas_Louisiana (2)_Fluxo de Caixa Orcamento FINAL_13052009" xfId="5206"/>
    <cellStyle name="s_Texas_Louisiana (2)_FM_dummyV4" xfId="5207"/>
    <cellStyle name="s_Texas_Louisiana (2)_lalur" xfId="5208"/>
    <cellStyle name="s_Texas_Louisiana (2)_Leasing_V3" xfId="5209"/>
    <cellStyle name="s_Texas_Louisiana (2)_MODELO PDP III" xfId="5210"/>
    <cellStyle name="s_Texas_Louisiana (2)_ORÇ_2009" xfId="5211"/>
    <cellStyle name="s_Texas_Louisiana (2)_Pasta2" xfId="5212"/>
    <cellStyle name="s_Timex-Gucci Merger2" xfId="5213"/>
    <cellStyle name="s_Timex-Gucci Merger2_1" xfId="5214"/>
    <cellStyle name="s_Timex-Gucci Merger2_1_Comparativo VP FIN v1_So 2008" xfId="8833"/>
    <cellStyle name="s_Timex-Gucci Merger2_1_Comparativo VP MKT 2008 v1_So 2008" xfId="8834"/>
    <cellStyle name="s_Timex-Gucci Merger2_1_Comparativo VP TEC 2008 v1_So 2008" xfId="8835"/>
    <cellStyle name="s_Timex-Gucci Merger2_1_Comparativo VP TEC 2008_Luiz Sergio" xfId="8836"/>
    <cellStyle name="s_Timex-Gucci Merger2_1_Cópia de Modelo - Fluxo de Caixa Orcamento 09052009_V36_3" xfId="5215"/>
    <cellStyle name="s_Timex-Gucci Merger2_1_Fluxo de Caixa Orcamento FINAL_13052009" xfId="5216"/>
    <cellStyle name="s_Timex-Gucci Merger2_1_FM_dummyV4" xfId="5217"/>
    <cellStyle name="s_Timex-Gucci Merger2_1_lalur" xfId="5218"/>
    <cellStyle name="s_Timex-Gucci Merger2_1_Leasing_V3" xfId="5219"/>
    <cellStyle name="s_Timex-Gucci Merger2_1_MODELO PDP III" xfId="5220"/>
    <cellStyle name="s_Timex-Gucci Merger2_1_ORÇ_2009" xfId="5221"/>
    <cellStyle name="s_Timex-Gucci Merger2_1_Pasta2" xfId="5222"/>
    <cellStyle name="s_Timex-Gucci Merger2_Comparativo VP FIN v1_So 2008" xfId="8837"/>
    <cellStyle name="s_Timex-Gucci Merger2_Comparativo VP MKT 2008 v1_So 2008" xfId="8838"/>
    <cellStyle name="s_Timex-Gucci Merger2_Comparativo VP TEC 2008 v1_So 2008" xfId="8839"/>
    <cellStyle name="s_Timex-Gucci Merger2_Comparativo VP TEC 2008_Luiz Sergio" xfId="8840"/>
    <cellStyle name="s_Timex-Gucci Merger2_Cópia de Modelo - Fluxo de Caixa Orcamento 09052009_V36_3" xfId="5223"/>
    <cellStyle name="s_Timex-Gucci Merger2_Fluxo de Caixa Orcamento FINAL_13052009" xfId="5224"/>
    <cellStyle name="s_Timex-Gucci Merger2_FM_dummyV4" xfId="5225"/>
    <cellStyle name="s_Timex-Gucci Merger2_lalur" xfId="5226"/>
    <cellStyle name="s_Timex-Gucci Merger2_Leasing_V3" xfId="5227"/>
    <cellStyle name="s_Timex-Gucci Merger2_MODELO PDP III" xfId="5228"/>
    <cellStyle name="s_Timex-Gucci Merger2_ORÇ_2009" xfId="5229"/>
    <cellStyle name="s_Timex-Gucci Merger2_Pasta2" xfId="5230"/>
    <cellStyle name="s_Trading Val Calc" xfId="5231"/>
    <cellStyle name="s_Trading Val Calc_1" xfId="5232"/>
    <cellStyle name="s_Trading Val Calc_1_Comparativo VP FIN v1_So 2008" xfId="8841"/>
    <cellStyle name="s_Trading Val Calc_1_Comparativo VP MKT 2008 v1_So 2008" xfId="8842"/>
    <cellStyle name="s_Trading Val Calc_1_Comparativo VP TEC 2008 v1_So 2008" xfId="8843"/>
    <cellStyle name="s_Trading Val Calc_1_Comparativo VP TEC 2008_Luiz Sergio" xfId="8844"/>
    <cellStyle name="s_Trading Val Calc_1_Cópia de Modelo - Fluxo de Caixa Orcamento 09052009_V36_3" xfId="5233"/>
    <cellStyle name="s_Trading Val Calc_1_Fluxo de Caixa Orcamento FINAL_13052009" xfId="5234"/>
    <cellStyle name="s_Trading Val Calc_1_FM_dummyV4" xfId="5235"/>
    <cellStyle name="s_Trading Val Calc_1_lalur" xfId="5236"/>
    <cellStyle name="s_Trading Val Calc_1_Leasing_V3" xfId="5237"/>
    <cellStyle name="s_Trading Val Calc_1_MODELO PDP III" xfId="5238"/>
    <cellStyle name="s_Trading Val Calc_1_ORÇ_2009" xfId="5239"/>
    <cellStyle name="s_Trading Val Calc_1_Pasta2" xfId="5240"/>
    <cellStyle name="s_Trading Val Calc_2" xfId="5241"/>
    <cellStyle name="s_Trading Val Calc_2_Comparativo VP FIN v1_So 2008" xfId="8845"/>
    <cellStyle name="s_Trading Val Calc_2_Comparativo VP MKT 2008 v1_So 2008" xfId="8846"/>
    <cellStyle name="s_Trading Val Calc_2_Comparativo VP TEC 2008 v1_So 2008" xfId="8847"/>
    <cellStyle name="s_Trading Val Calc_2_Comparativo VP TEC 2008_Luiz Sergio" xfId="8848"/>
    <cellStyle name="s_Trading Val Calc_2_Cópia de Modelo - Fluxo de Caixa Orcamento 09052009_V36_3" xfId="5242"/>
    <cellStyle name="s_Trading Val Calc_2_Fluxo de Caixa Orcamento FINAL_13052009" xfId="5243"/>
    <cellStyle name="s_Trading Val Calc_2_FM_dummyV4" xfId="5244"/>
    <cellStyle name="s_Trading Val Calc_2_lalur" xfId="5245"/>
    <cellStyle name="s_Trading Val Calc_2_Leasing_V3" xfId="5246"/>
    <cellStyle name="s_Trading Val Calc_2_MODELO PDP III" xfId="5247"/>
    <cellStyle name="s_Trading Val Calc_2_ORÇ_2009" xfId="5248"/>
    <cellStyle name="s_Trading Val Calc_2_Pasta2" xfId="5249"/>
    <cellStyle name="s_Trading Val Calc_AM0909" xfId="5250"/>
    <cellStyle name="s_Trading Val Calc_AM0909_Comparativo VP FIN v1_So 2008" xfId="8849"/>
    <cellStyle name="s_Trading Val Calc_AM0909_Comparativo VP MKT 2008 v1_So 2008" xfId="8850"/>
    <cellStyle name="s_Trading Val Calc_AM0909_Comparativo VP TEC 2008 v1_So 2008" xfId="8851"/>
    <cellStyle name="s_Trading Val Calc_AM0909_Comparativo VP TEC 2008_Luiz Sergio" xfId="8852"/>
    <cellStyle name="s_Trading Val Calc_AM0909_Cópia de Modelo - Fluxo de Caixa Orcamento 09052009_V36_3" xfId="5251"/>
    <cellStyle name="s_Trading Val Calc_AM0909_Fluxo de Caixa Orcamento FINAL_13052009" xfId="5252"/>
    <cellStyle name="s_Trading Val Calc_AM0909_FM_dummyV4" xfId="5253"/>
    <cellStyle name="s_Trading Val Calc_AM0909_lalur" xfId="5254"/>
    <cellStyle name="s_Trading Val Calc_AM0909_Leasing_V3" xfId="5255"/>
    <cellStyle name="s_Trading Val Calc_AM0909_MODELO PDP III" xfId="5256"/>
    <cellStyle name="s_Trading Val Calc_AM0909_ORÇ_2009" xfId="5257"/>
    <cellStyle name="s_Trading Val Calc_AM0909_Pasta2" xfId="5258"/>
    <cellStyle name="s_Trading Val Calc_Brenner" xfId="5259"/>
    <cellStyle name="s_Trading Val Calc_Brenner_Comparativo VP FIN v1_So 2008" xfId="8853"/>
    <cellStyle name="s_Trading Val Calc_Brenner_Comparativo VP MKT 2008 v1_So 2008" xfId="8854"/>
    <cellStyle name="s_Trading Val Calc_Brenner_Comparativo VP TEC 2008 v1_So 2008" xfId="8855"/>
    <cellStyle name="s_Trading Val Calc_Brenner_Comparativo VP TEC 2008_Luiz Sergio" xfId="8856"/>
    <cellStyle name="s_Trading Val Calc_Brenner_Cópia de Modelo - Fluxo de Caixa Orcamento 09052009_V36_3" xfId="5260"/>
    <cellStyle name="s_Trading Val Calc_Brenner_Fluxo de Caixa Orcamento FINAL_13052009" xfId="5261"/>
    <cellStyle name="s_Trading Val Calc_Brenner_FM_dummyV4" xfId="5262"/>
    <cellStyle name="s_Trading Val Calc_Brenner_lalur" xfId="5263"/>
    <cellStyle name="s_Trading Val Calc_Brenner_Leasing_V3" xfId="5264"/>
    <cellStyle name="s_Trading Val Calc_Brenner_MODELO PDP III" xfId="5265"/>
    <cellStyle name="s_Trading Val Calc_Brenner_ORÇ_2009" xfId="5266"/>
    <cellStyle name="s_Trading Val Calc_Brenner_Pasta2" xfId="5267"/>
    <cellStyle name="s_Trading Val Calc_Comparativo VP FIN v1_So 2008" xfId="8857"/>
    <cellStyle name="s_Trading Val Calc_Comparativo VP MKT 2008 v1_So 2008" xfId="8858"/>
    <cellStyle name="s_Trading Val Calc_Comparativo VP TEC 2008 v1_So 2008" xfId="8859"/>
    <cellStyle name="s_Trading Val Calc_Comparativo VP TEC 2008_Luiz Sergio" xfId="8860"/>
    <cellStyle name="s_Trading Val Calc_Cópia de Modelo - Fluxo de Caixa Orcamento 09052009_V36_3" xfId="5268"/>
    <cellStyle name="s_Trading Val Calc_Fluxo de Caixa Orcamento FINAL_13052009" xfId="5269"/>
    <cellStyle name="s_Trading Val Calc_FM_dummyV4" xfId="5270"/>
    <cellStyle name="s_Trading Val Calc_lalur" xfId="5271"/>
    <cellStyle name="s_Trading Val Calc_Leasing_V3" xfId="5272"/>
    <cellStyle name="s_Trading Val Calc_MODELO PDP III" xfId="5273"/>
    <cellStyle name="s_Trading Val Calc_ORÇ_2009" xfId="5274"/>
    <cellStyle name="s_Trading Val Calc_Pasta2" xfId="5275"/>
    <cellStyle name="s_Trading Value" xfId="5276"/>
    <cellStyle name="s_Trading Value_1" xfId="5277"/>
    <cellStyle name="s_Trading Value_1_Comparativo VP FIN v1_So 2008" xfId="8861"/>
    <cellStyle name="s_Trading Value_1_Comparativo VP MKT 2008 v1_So 2008" xfId="8862"/>
    <cellStyle name="s_Trading Value_1_Comparativo VP TEC 2008 v1_So 2008" xfId="8863"/>
    <cellStyle name="s_Trading Value_1_Comparativo VP TEC 2008_Luiz Sergio" xfId="8864"/>
    <cellStyle name="s_Trading Value_1_Cópia de Modelo - Fluxo de Caixa Orcamento 09052009_V36_3" xfId="5278"/>
    <cellStyle name="s_Trading Value_1_Fluxo de Caixa Orcamento FINAL_13052009" xfId="5279"/>
    <cellStyle name="s_Trading Value_1_FM_dummyV4" xfId="5280"/>
    <cellStyle name="s_Trading Value_1_lalur" xfId="5281"/>
    <cellStyle name="s_Trading Value_1_Leasing_V3" xfId="5282"/>
    <cellStyle name="s_Trading Value_1_MODELO PDP III" xfId="5283"/>
    <cellStyle name="s_Trading Value_1_ORÇ_2009" xfId="5284"/>
    <cellStyle name="s_Trading Value_1_Pasta2" xfId="5285"/>
    <cellStyle name="s_Trading Value_2" xfId="5286"/>
    <cellStyle name="s_Trading Value_2_Comparativo VP FIN v1_So 2008" xfId="8865"/>
    <cellStyle name="s_Trading Value_2_Comparativo VP MKT 2008 v1_So 2008" xfId="8866"/>
    <cellStyle name="s_Trading Value_2_Comparativo VP TEC 2008 v1_So 2008" xfId="8867"/>
    <cellStyle name="s_Trading Value_2_Comparativo VP TEC 2008_Luiz Sergio" xfId="8868"/>
    <cellStyle name="s_Trading Value_2_Cópia de Modelo - Fluxo de Caixa Orcamento 09052009_V36_3" xfId="5287"/>
    <cellStyle name="s_Trading Value_2_Fluxo de Caixa Orcamento FINAL_13052009" xfId="5288"/>
    <cellStyle name="s_Trading Value_2_FM_dummyV4" xfId="5289"/>
    <cellStyle name="s_Trading Value_2_lalur" xfId="5290"/>
    <cellStyle name="s_Trading Value_2_Leasing_V3" xfId="5291"/>
    <cellStyle name="s_Trading Value_2_MODELO PDP III" xfId="5292"/>
    <cellStyle name="s_Trading Value_2_ORÇ_2009" xfId="5293"/>
    <cellStyle name="s_Trading Value_2_Pasta2" xfId="5294"/>
    <cellStyle name="s_Trading Value_Comparativo VP FIN v1_So 2008" xfId="8869"/>
    <cellStyle name="s_Trading Value_Comparativo VP MKT 2008 v1_So 2008" xfId="8870"/>
    <cellStyle name="s_Trading Value_Comparativo VP TEC 2008 v1_So 2008" xfId="8871"/>
    <cellStyle name="s_Trading Value_Comparativo VP TEC 2008_Luiz Sergio" xfId="8872"/>
    <cellStyle name="s_Trading Value_Cópia de Modelo - Fluxo de Caixa Orcamento 09052009_V36_3" xfId="5295"/>
    <cellStyle name="s_Trading Value_Fluxo de Caixa Orcamento FINAL_13052009" xfId="5296"/>
    <cellStyle name="s_Trading Value_FM_dummyV4" xfId="5297"/>
    <cellStyle name="s_Trading Value_lalur" xfId="5298"/>
    <cellStyle name="s_Trading Value_Leasing_V3" xfId="5299"/>
    <cellStyle name="s_Trading Value_MODELO PDP III" xfId="5300"/>
    <cellStyle name="s_Trading Value_ORÇ_2009" xfId="5301"/>
    <cellStyle name="s_Trading Value_Pasta2" xfId="5302"/>
    <cellStyle name="s_Trans Assump" xfId="5303"/>
    <cellStyle name="s_Trans Assump (2)" xfId="5304"/>
    <cellStyle name="s_Trans Assump (2)_1" xfId="5305"/>
    <cellStyle name="s_Trans Assump (2)_1_Comparativo VP FIN v1_So 2008" xfId="8873"/>
    <cellStyle name="s_Trans Assump (2)_1_Comparativo VP MKT 2008 v1_So 2008" xfId="8874"/>
    <cellStyle name="s_Trans Assump (2)_1_Comparativo VP TEC 2008 v1_So 2008" xfId="8875"/>
    <cellStyle name="s_Trans Assump (2)_1_Comparativo VP TEC 2008_Luiz Sergio" xfId="8876"/>
    <cellStyle name="s_Trans Assump (2)_1_Cópia de Modelo - Fluxo de Caixa Orcamento 09052009_V36_3" xfId="5306"/>
    <cellStyle name="s_Trans Assump (2)_1_Fluxo de Caixa Orcamento FINAL_13052009" xfId="5307"/>
    <cellStyle name="s_Trans Assump (2)_1_FM_dummyV4" xfId="5308"/>
    <cellStyle name="s_Trans Assump (2)_1_lalur" xfId="5309"/>
    <cellStyle name="s_Trans Assump (2)_1_Leasing_V3" xfId="5310"/>
    <cellStyle name="s_Trans Assump (2)_1_MODELO PDP III" xfId="5311"/>
    <cellStyle name="s_Trans Assump (2)_1_ORÇ_2009" xfId="5312"/>
    <cellStyle name="s_Trans Assump (2)_1_Pasta2" xfId="5313"/>
    <cellStyle name="s_Trans Assump (2)_Comparativo VP FIN v1_So 2008" xfId="8877"/>
    <cellStyle name="s_Trans Assump (2)_Comparativo VP MKT 2008 v1_So 2008" xfId="8878"/>
    <cellStyle name="s_Trans Assump (2)_Comparativo VP TEC 2008 v1_So 2008" xfId="8879"/>
    <cellStyle name="s_Trans Assump (2)_Comparativo VP TEC 2008_Luiz Sergio" xfId="8880"/>
    <cellStyle name="s_Trans Assump (2)_Cópia de Modelo - Fluxo de Caixa Orcamento 09052009_V36_3" xfId="5314"/>
    <cellStyle name="s_Trans Assump (2)_Fluxo de Caixa Orcamento FINAL_13052009" xfId="5315"/>
    <cellStyle name="s_Trans Assump (2)_FM_dummyV4" xfId="5316"/>
    <cellStyle name="s_Trans Assump (2)_lalur" xfId="5317"/>
    <cellStyle name="s_Trans Assump (2)_Leasing_V3" xfId="5318"/>
    <cellStyle name="s_Trans Assump (2)_MODELO PDP III" xfId="5319"/>
    <cellStyle name="s_Trans Assump (2)_ORÇ_2009" xfId="5320"/>
    <cellStyle name="s_Trans Assump (2)_Pasta2" xfId="5321"/>
    <cellStyle name="s_Trans Assump_1" xfId="5322"/>
    <cellStyle name="s_Trans Assump_1_AM0909" xfId="5323"/>
    <cellStyle name="s_Trans Assump_1_AM0909_Comparativo VP FIN v1_So 2008" xfId="8881"/>
    <cellStyle name="s_Trans Assump_1_AM0909_Comparativo VP MKT 2008 v1_So 2008" xfId="8882"/>
    <cellStyle name="s_Trans Assump_1_AM0909_Comparativo VP TEC 2008 v1_So 2008" xfId="8883"/>
    <cellStyle name="s_Trans Assump_1_AM0909_Comparativo VP TEC 2008_Luiz Sergio" xfId="8884"/>
    <cellStyle name="s_Trans Assump_1_AM0909_Cópia de Modelo - Fluxo de Caixa Orcamento 09052009_V36_3" xfId="5324"/>
    <cellStyle name="s_Trans Assump_1_AM0909_Fluxo de Caixa Orcamento FINAL_13052009" xfId="5325"/>
    <cellStyle name="s_Trans Assump_1_AM0909_FM_dummyV4" xfId="5326"/>
    <cellStyle name="s_Trans Assump_1_AM0909_lalur" xfId="5327"/>
    <cellStyle name="s_Trans Assump_1_AM0909_Leasing_V3" xfId="5328"/>
    <cellStyle name="s_Trans Assump_1_AM0909_MODELO PDP III" xfId="5329"/>
    <cellStyle name="s_Trans Assump_1_AM0909_ORÇ_2009" xfId="5330"/>
    <cellStyle name="s_Trans Assump_1_AM0909_Pasta2" xfId="5331"/>
    <cellStyle name="s_Trans Assump_1_Brenner" xfId="5332"/>
    <cellStyle name="s_Trans Assump_1_Brenner_Comparativo VP FIN v1_So 2008" xfId="8885"/>
    <cellStyle name="s_Trans Assump_1_Brenner_Comparativo VP MKT 2008 v1_So 2008" xfId="8886"/>
    <cellStyle name="s_Trans Assump_1_Brenner_Comparativo VP TEC 2008 v1_So 2008" xfId="8887"/>
    <cellStyle name="s_Trans Assump_1_Brenner_Comparativo VP TEC 2008_Luiz Sergio" xfId="8888"/>
    <cellStyle name="s_Trans Assump_1_Brenner_Cópia de Modelo - Fluxo de Caixa Orcamento 09052009_V36_3" xfId="5333"/>
    <cellStyle name="s_Trans Assump_1_Brenner_Fluxo de Caixa Orcamento FINAL_13052009" xfId="5334"/>
    <cellStyle name="s_Trans Assump_1_Brenner_FM_dummyV4" xfId="5335"/>
    <cellStyle name="s_Trans Assump_1_Brenner_lalur" xfId="5336"/>
    <cellStyle name="s_Trans Assump_1_Brenner_Leasing_V3" xfId="5337"/>
    <cellStyle name="s_Trans Assump_1_Brenner_MODELO PDP III" xfId="5338"/>
    <cellStyle name="s_Trans Assump_1_Brenner_ORÇ_2009" xfId="5339"/>
    <cellStyle name="s_Trans Assump_1_Brenner_Pasta2" xfId="5340"/>
    <cellStyle name="s_Trans Assump_1_Comparativo VP FIN v1_So 2008" xfId="8889"/>
    <cellStyle name="s_Trans Assump_1_Comparativo VP MKT 2008 v1_So 2008" xfId="8890"/>
    <cellStyle name="s_Trans Assump_1_Comparativo VP TEC 2008 v1_So 2008" xfId="8891"/>
    <cellStyle name="s_Trans Assump_1_Comparativo VP TEC 2008_Luiz Sergio" xfId="8892"/>
    <cellStyle name="s_Trans Assump_1_Cópia de Modelo - Fluxo de Caixa Orcamento 09052009_V36_3" xfId="5341"/>
    <cellStyle name="s_Trans Assump_1_Fluxo de Caixa Orcamento FINAL_13052009" xfId="5342"/>
    <cellStyle name="s_Trans Assump_1_FM_dummyV4" xfId="5343"/>
    <cellStyle name="s_Trans Assump_1_lalur" xfId="5344"/>
    <cellStyle name="s_Trans Assump_1_Leasing_V3" xfId="5345"/>
    <cellStyle name="s_Trans Assump_1_MODELO PDP III" xfId="5346"/>
    <cellStyle name="s_Trans Assump_1_ORÇ_2009" xfId="5347"/>
    <cellStyle name="s_Trans Assump_1_Pasta2" xfId="5348"/>
    <cellStyle name="s_Trans Assump_2" xfId="5349"/>
    <cellStyle name="s_Trans Assump_2_Comparativo VP FIN v1_So 2008" xfId="8893"/>
    <cellStyle name="s_Trans Assump_2_Comparativo VP MKT 2008 v1_So 2008" xfId="8894"/>
    <cellStyle name="s_Trans Assump_2_Comparativo VP TEC 2008 v1_So 2008" xfId="8895"/>
    <cellStyle name="s_Trans Assump_2_Comparativo VP TEC 2008_Luiz Sergio" xfId="8896"/>
    <cellStyle name="s_Trans Assump_2_Cópia de Modelo - Fluxo de Caixa Orcamento 09052009_V36_3" xfId="5350"/>
    <cellStyle name="s_Trans Assump_2_Fluxo de Caixa Orcamento FINAL_13052009" xfId="5351"/>
    <cellStyle name="s_Trans Assump_2_FM_dummyV4" xfId="5352"/>
    <cellStyle name="s_Trans Assump_2_lalur" xfId="5353"/>
    <cellStyle name="s_Trans Assump_2_Leasing_V3" xfId="5354"/>
    <cellStyle name="s_Trans Assump_2_MODELO PDP III" xfId="5355"/>
    <cellStyle name="s_Trans Assump_2_ORÇ_2009" xfId="5356"/>
    <cellStyle name="s_Trans Assump_2_Pasta2" xfId="5357"/>
    <cellStyle name="s_Trans Assump_AM0909" xfId="5358"/>
    <cellStyle name="s_Trans Assump_AM0909_Comparativo VP FIN v1_So 2008" xfId="8897"/>
    <cellStyle name="s_Trans Assump_AM0909_Comparativo VP MKT 2008 v1_So 2008" xfId="8898"/>
    <cellStyle name="s_Trans Assump_AM0909_Comparativo VP TEC 2008 v1_So 2008" xfId="8899"/>
    <cellStyle name="s_Trans Assump_AM0909_Comparativo VP TEC 2008_Luiz Sergio" xfId="8900"/>
    <cellStyle name="s_Trans Assump_AM0909_Cópia de Modelo - Fluxo de Caixa Orcamento 09052009_V36_3" xfId="5359"/>
    <cellStyle name="s_Trans Assump_AM0909_Fluxo de Caixa Orcamento FINAL_13052009" xfId="5360"/>
    <cellStyle name="s_Trans Assump_AM0909_FM_dummyV4" xfId="5361"/>
    <cellStyle name="s_Trans Assump_AM0909_lalur" xfId="5362"/>
    <cellStyle name="s_Trans Assump_AM0909_Leasing_V3" xfId="5363"/>
    <cellStyle name="s_Trans Assump_AM0909_MODELO PDP III" xfId="5364"/>
    <cellStyle name="s_Trans Assump_AM0909_ORÇ_2009" xfId="5365"/>
    <cellStyle name="s_Trans Assump_AM0909_Pasta2" xfId="5366"/>
    <cellStyle name="s_Trans Assump_Brenner" xfId="5367"/>
    <cellStyle name="s_Trans Assump_Brenner_Comparativo VP FIN v1_So 2008" xfId="8901"/>
    <cellStyle name="s_Trans Assump_Brenner_Comparativo VP MKT 2008 v1_So 2008" xfId="8902"/>
    <cellStyle name="s_Trans Assump_Brenner_Comparativo VP TEC 2008 v1_So 2008" xfId="8903"/>
    <cellStyle name="s_Trans Assump_Brenner_Comparativo VP TEC 2008_Luiz Sergio" xfId="8904"/>
    <cellStyle name="s_Trans Assump_Brenner_Cópia de Modelo - Fluxo de Caixa Orcamento 09052009_V36_3" xfId="5368"/>
    <cellStyle name="s_Trans Assump_Brenner_Fluxo de Caixa Orcamento FINAL_13052009" xfId="5369"/>
    <cellStyle name="s_Trans Assump_Brenner_FM_dummyV4" xfId="5370"/>
    <cellStyle name="s_Trans Assump_Brenner_lalur" xfId="5371"/>
    <cellStyle name="s_Trans Assump_Brenner_Leasing_V3" xfId="5372"/>
    <cellStyle name="s_Trans Assump_Brenner_MODELO PDP III" xfId="5373"/>
    <cellStyle name="s_Trans Assump_Brenner_ORÇ_2009" xfId="5374"/>
    <cellStyle name="s_Trans Assump_Brenner_Pasta2" xfId="5375"/>
    <cellStyle name="s_Trans Assump_Comparativo VP FIN v1_So 2008" xfId="8905"/>
    <cellStyle name="s_Trans Assump_Comparativo VP MKT 2008 v1_So 2008" xfId="8906"/>
    <cellStyle name="s_Trans Assump_Comparativo VP TEC 2008 v1_So 2008" xfId="8907"/>
    <cellStyle name="s_Trans Assump_Comparativo VP TEC 2008_Luiz Sergio" xfId="8908"/>
    <cellStyle name="s_Trans Assump_Cópia de Modelo - Fluxo de Caixa Orcamento 09052009_V36_3" xfId="5376"/>
    <cellStyle name="s_Trans Assump_Fluxo de Caixa Orcamento FINAL_13052009" xfId="5377"/>
    <cellStyle name="s_Trans Assump_FM_dummyV4" xfId="5378"/>
    <cellStyle name="s_Trans Assump_lalur" xfId="5379"/>
    <cellStyle name="s_Trans Assump_Leasing_V3" xfId="5380"/>
    <cellStyle name="s_Trans Assump_MODELO PDP III" xfId="5381"/>
    <cellStyle name="s_Trans Assump_ORÇ_2009" xfId="5382"/>
    <cellStyle name="s_Trans Assump_Pasta2" xfId="5383"/>
    <cellStyle name="s_Trans Assump_Trans Sum" xfId="5384"/>
    <cellStyle name="s_Trans Assump_Trans Sum_Comparativo VP FIN v1_So 2008" xfId="8909"/>
    <cellStyle name="s_Trans Assump_Trans Sum_Comparativo VP MKT 2008 v1_So 2008" xfId="8910"/>
    <cellStyle name="s_Trans Assump_Trans Sum_Comparativo VP TEC 2008 v1_So 2008" xfId="8911"/>
    <cellStyle name="s_Trans Assump_Trans Sum_Comparativo VP TEC 2008_Luiz Sergio" xfId="8912"/>
    <cellStyle name="s_Trans Assump_Trans Sum_Cópia de Modelo - Fluxo de Caixa Orcamento 09052009_V36_3" xfId="5385"/>
    <cellStyle name="s_Trans Assump_Trans Sum_Fluxo de Caixa Orcamento FINAL_13052009" xfId="5386"/>
    <cellStyle name="s_Trans Assump_Trans Sum_FM_dummyV4" xfId="5387"/>
    <cellStyle name="s_Trans Assump_Trans Sum_lalur" xfId="5388"/>
    <cellStyle name="s_Trans Assump_Trans Sum_Leasing_V3" xfId="5389"/>
    <cellStyle name="s_Trans Assump_Trans Sum_MODELO PDP III" xfId="5390"/>
    <cellStyle name="s_Trans Assump_Trans Sum_ORÇ_2009" xfId="5391"/>
    <cellStyle name="s_Trans Assump_Trans Sum_Pasta2" xfId="5392"/>
    <cellStyle name="s_Trans Sum" xfId="5393"/>
    <cellStyle name="s_Trans Sum_1" xfId="5394"/>
    <cellStyle name="s_Trans Sum_1_Comparativo VP FIN v1_So 2008" xfId="8913"/>
    <cellStyle name="s_Trans Sum_1_Comparativo VP MKT 2008 v1_So 2008" xfId="8914"/>
    <cellStyle name="s_Trans Sum_1_Comparativo VP TEC 2008 v1_So 2008" xfId="8915"/>
    <cellStyle name="s_Trans Sum_1_Comparativo VP TEC 2008_Luiz Sergio" xfId="8916"/>
    <cellStyle name="s_Trans Sum_1_Cópia de Modelo - Fluxo de Caixa Orcamento 09052009_V36_3" xfId="5395"/>
    <cellStyle name="s_Trans Sum_1_Fluxo de Caixa Orcamento FINAL_13052009" xfId="5396"/>
    <cellStyle name="s_Trans Sum_1_FM_dummyV4" xfId="5397"/>
    <cellStyle name="s_Trans Sum_1_lalur" xfId="5398"/>
    <cellStyle name="s_Trans Sum_1_Leasing_V3" xfId="5399"/>
    <cellStyle name="s_Trans Sum_1_MODELO PDP III" xfId="5400"/>
    <cellStyle name="s_Trans Sum_1_ORÇ_2009" xfId="5401"/>
    <cellStyle name="s_Trans Sum_1_Pasta2" xfId="5402"/>
    <cellStyle name="s_Trans Sum_2" xfId="5403"/>
    <cellStyle name="s_Trans Sum_2_Comparativo VP FIN v1_So 2008" xfId="8917"/>
    <cellStyle name="s_Trans Sum_2_Comparativo VP MKT 2008 v1_So 2008" xfId="8918"/>
    <cellStyle name="s_Trans Sum_2_Comparativo VP TEC 2008 v1_So 2008" xfId="8919"/>
    <cellStyle name="s_Trans Sum_2_Comparativo VP TEC 2008_Luiz Sergio" xfId="8920"/>
    <cellStyle name="s_Trans Sum_2_Cópia de Modelo - Fluxo de Caixa Orcamento 09052009_V36_3" xfId="5404"/>
    <cellStyle name="s_Trans Sum_2_Fluxo de Caixa Orcamento FINAL_13052009" xfId="5405"/>
    <cellStyle name="s_Trans Sum_2_FM_dummyV4" xfId="5406"/>
    <cellStyle name="s_Trans Sum_2_lalur" xfId="5407"/>
    <cellStyle name="s_Trans Sum_2_Leasing_V3" xfId="5408"/>
    <cellStyle name="s_Trans Sum_2_MODELO PDP III" xfId="5409"/>
    <cellStyle name="s_Trans Sum_2_ORÇ_2009" xfId="5410"/>
    <cellStyle name="s_Trans Sum_2_Pasta2" xfId="5411"/>
    <cellStyle name="s_Trans Sum_Comparativo VP FIN v1_So 2008" xfId="8921"/>
    <cellStyle name="s_Trans Sum_Comparativo VP MKT 2008 v1_So 2008" xfId="8922"/>
    <cellStyle name="s_Trans Sum_Comparativo VP TEC 2008 v1_So 2008" xfId="8923"/>
    <cellStyle name="s_Trans Sum_Comparativo VP TEC 2008_Luiz Sergio" xfId="8924"/>
    <cellStyle name="s_Trans Sum_Cópia de Modelo - Fluxo de Caixa Orcamento 09052009_V36_3" xfId="5412"/>
    <cellStyle name="s_Trans Sum_Fluxo de Caixa Orcamento FINAL_13052009" xfId="5413"/>
    <cellStyle name="s_Trans Sum_FM_dummyV4" xfId="5414"/>
    <cellStyle name="s_Trans Sum_lalur" xfId="5415"/>
    <cellStyle name="s_Trans Sum_Leasing_V3" xfId="5416"/>
    <cellStyle name="s_Trans Sum_MODELO PDP III" xfId="5417"/>
    <cellStyle name="s_Trans Sum_ORÇ_2009" xfId="5418"/>
    <cellStyle name="s_Trans Sum_Pasta2" xfId="5419"/>
    <cellStyle name="s_Trans Sum_Trans Assump" xfId="5420"/>
    <cellStyle name="s_Trans Sum_Trans Assump_Comparativo VP FIN v1_So 2008" xfId="8925"/>
    <cellStyle name="s_Trans Sum_Trans Assump_Comparativo VP MKT 2008 v1_So 2008" xfId="8926"/>
    <cellStyle name="s_Trans Sum_Trans Assump_Comparativo VP TEC 2008 v1_So 2008" xfId="8927"/>
    <cellStyle name="s_Trans Sum_Trans Assump_Comparativo VP TEC 2008_Luiz Sergio" xfId="8928"/>
    <cellStyle name="s_Trans Sum_Trans Assump_Cópia de Modelo - Fluxo de Caixa Orcamento 09052009_V36_3" xfId="5421"/>
    <cellStyle name="s_Trans Sum_Trans Assump_Fluxo de Caixa Orcamento FINAL_13052009" xfId="5422"/>
    <cellStyle name="s_Trans Sum_Trans Assump_FM_dummyV4" xfId="5423"/>
    <cellStyle name="s_Trans Sum_Trans Assump_lalur" xfId="5424"/>
    <cellStyle name="s_Trans Sum_Trans Assump_Leasing_V3" xfId="5425"/>
    <cellStyle name="s_Trans Sum_Trans Assump_MODELO PDP III" xfId="5426"/>
    <cellStyle name="s_Trans Sum_Trans Assump_ORÇ_2009" xfId="5427"/>
    <cellStyle name="s_Trans Sum_Trans Assump_Pasta2" xfId="5428"/>
    <cellStyle name="s_Unit Price Sen. (2)" xfId="5429"/>
    <cellStyle name="s_Unit Price Sen. (2)_1" xfId="5430"/>
    <cellStyle name="s_Unit Price Sen. (2)_1_Comparativo VP FIN v1_So 2008" xfId="8929"/>
    <cellStyle name="s_Unit Price Sen. (2)_1_Comparativo VP MKT 2008 v1_So 2008" xfId="8930"/>
    <cellStyle name="s_Unit Price Sen. (2)_1_Comparativo VP TEC 2008 v1_So 2008" xfId="8931"/>
    <cellStyle name="s_Unit Price Sen. (2)_1_Comparativo VP TEC 2008_Luiz Sergio" xfId="8932"/>
    <cellStyle name="s_Unit Price Sen. (2)_1_Cópia de Modelo - Fluxo de Caixa Orcamento 09052009_V36_3" xfId="5431"/>
    <cellStyle name="s_Unit Price Sen. (2)_1_Fluxo de Caixa Orcamento FINAL_13052009" xfId="5432"/>
    <cellStyle name="s_Unit Price Sen. (2)_1_FM_dummyV4" xfId="5433"/>
    <cellStyle name="s_Unit Price Sen. (2)_1_lalur" xfId="5434"/>
    <cellStyle name="s_Unit Price Sen. (2)_1_Leasing_V3" xfId="5435"/>
    <cellStyle name="s_Unit Price Sen. (2)_1_MODELO PDP III" xfId="5436"/>
    <cellStyle name="s_Unit Price Sen. (2)_1_ORÇ_2009" xfId="5437"/>
    <cellStyle name="s_Unit Price Sen. (2)_1_Pasta2" xfId="5438"/>
    <cellStyle name="s_Unit Price Sen. (2)_2" xfId="5439"/>
    <cellStyle name="s_Unit Price Sen. (2)_2_Comparativo VP FIN v1_So 2008" xfId="8933"/>
    <cellStyle name="s_Unit Price Sen. (2)_2_Comparativo VP MKT 2008 v1_So 2008" xfId="8934"/>
    <cellStyle name="s_Unit Price Sen. (2)_2_Comparativo VP TEC 2008 v1_So 2008" xfId="8935"/>
    <cellStyle name="s_Unit Price Sen. (2)_2_Comparativo VP TEC 2008_Luiz Sergio" xfId="8936"/>
    <cellStyle name="s_Unit Price Sen. (2)_2_Cópia de Modelo - Fluxo de Caixa Orcamento 09052009_V36_3" xfId="5440"/>
    <cellStyle name="s_Unit Price Sen. (2)_2_Fluxo de Caixa Orcamento FINAL_13052009" xfId="5441"/>
    <cellStyle name="s_Unit Price Sen. (2)_2_FM_dummyV4" xfId="5442"/>
    <cellStyle name="s_Unit Price Sen. (2)_2_lalur" xfId="5443"/>
    <cellStyle name="s_Unit Price Sen. (2)_2_Leasing_V3" xfId="5444"/>
    <cellStyle name="s_Unit Price Sen. (2)_2_MODELO PDP III" xfId="5445"/>
    <cellStyle name="s_Unit Price Sen. (2)_2_ORÇ_2009" xfId="5446"/>
    <cellStyle name="s_Unit Price Sen. (2)_2_Pasta2" xfId="5447"/>
    <cellStyle name="s_Unit Price Sen. (2)_Comparativo VP FIN v1_So 2008" xfId="8937"/>
    <cellStyle name="s_Unit Price Sen. (2)_Comparativo VP MKT 2008 v1_So 2008" xfId="8938"/>
    <cellStyle name="s_Unit Price Sen. (2)_Comparativo VP TEC 2008 v1_So 2008" xfId="8939"/>
    <cellStyle name="s_Unit Price Sen. (2)_Comparativo VP TEC 2008_Luiz Sergio" xfId="8940"/>
    <cellStyle name="s_Unit Price Sen. (2)_Cópia de Modelo - Fluxo de Caixa Orcamento 09052009_V36_3" xfId="5448"/>
    <cellStyle name="s_Unit Price Sen. (2)_Fluxo de Caixa Orcamento FINAL_13052009" xfId="5449"/>
    <cellStyle name="s_Unit Price Sen. (2)_FM_dummyV4" xfId="5450"/>
    <cellStyle name="s_Unit Price Sen. (2)_lalur" xfId="5451"/>
    <cellStyle name="s_Unit Price Sen. (2)_Leasing_V3" xfId="5452"/>
    <cellStyle name="s_Unit Price Sen. (2)_MODELO PDP III" xfId="5453"/>
    <cellStyle name="s_Unit Price Sen. (2)_ORÇ_2009" xfId="5454"/>
    <cellStyle name="s_Unit Price Sen. (2)_Pasta2" xfId="5455"/>
    <cellStyle name="s_UPVAL9" xfId="5456"/>
    <cellStyle name="s_UPVAL9_Comparativo VP FIN v1_So 2008" xfId="8941"/>
    <cellStyle name="s_UPVAL9_Comparativo VP MKT 2008 v1_So 2008" xfId="8942"/>
    <cellStyle name="s_UPVAL9_Comparativo VP TEC 2008 v1_So 2008" xfId="8943"/>
    <cellStyle name="s_UPVAL9_Comparativo VP TEC 2008_Luiz Sergio" xfId="8944"/>
    <cellStyle name="s_UPVAL9_Cópia de Modelo - Fluxo de Caixa Orcamento 09052009_V36_3" xfId="5457"/>
    <cellStyle name="s_UPVAL9_Fluxo de Caixa Orcamento FINAL_13052009" xfId="5458"/>
    <cellStyle name="s_UPVAL9_FM_dummyV4" xfId="5459"/>
    <cellStyle name="s_UPVAL9_lalur" xfId="5460"/>
    <cellStyle name="s_UPVAL9_Leasing_V3" xfId="5461"/>
    <cellStyle name="s_UPVAL9_MODELO PDP III" xfId="5462"/>
    <cellStyle name="s_UPVAL9_ORÇ_2009" xfId="5463"/>
    <cellStyle name="s_UPVAL9_Pasta2" xfId="5464"/>
    <cellStyle name="s_Val Anal" xfId="5465"/>
    <cellStyle name="s_Val Anal_Comparativo VP FIN v1_So 2008" xfId="8945"/>
    <cellStyle name="s_Val Anal_Comparativo VP MKT 2008 v1_So 2008" xfId="8946"/>
    <cellStyle name="s_Val Anal_Comparativo VP TEC 2008 v1_So 2008" xfId="8947"/>
    <cellStyle name="s_Val Anal_Comparativo VP TEC 2008_Luiz Sergio" xfId="8948"/>
    <cellStyle name="s_Val Anal_Cópia de Modelo - Fluxo de Caixa Orcamento 09052009_V36_3" xfId="5466"/>
    <cellStyle name="s_Val Anal_Fluxo de Caixa Orcamento FINAL_13052009" xfId="5467"/>
    <cellStyle name="s_Val Anal_FM_dummyV4" xfId="5468"/>
    <cellStyle name="s_Val Anal_lalur" xfId="5469"/>
    <cellStyle name="s_Val Anal_Leasing_V3" xfId="5470"/>
    <cellStyle name="s_Val Anal_MODELO PDP III" xfId="5471"/>
    <cellStyle name="s_Val Anal_ORÇ_2009" xfId="5472"/>
    <cellStyle name="s_Val Anal_Pasta2" xfId="5473"/>
    <cellStyle name="s_Valuation " xfId="5474"/>
    <cellStyle name="s_Valuation _Comparativo VP FIN v1_So 2008" xfId="8949"/>
    <cellStyle name="s_Valuation _Comparativo VP MKT 2008 v1_So 2008" xfId="8950"/>
    <cellStyle name="s_Valuation _Comparativo VP TEC 2008 v1_So 2008" xfId="8951"/>
    <cellStyle name="s_Valuation _Comparativo VP TEC 2008_Luiz Sergio" xfId="8952"/>
    <cellStyle name="s_Valuation _Cópia de Modelo - Fluxo de Caixa Orcamento 09052009_V36_3" xfId="5475"/>
    <cellStyle name="s_Valuation _DB Dados do Mercado" xfId="8953"/>
    <cellStyle name="s_Valuation _DB Dados do Mercado_MTM Swap Morgan Stanley" xfId="8954"/>
    <cellStyle name="s_Valuation _DB Dados do Mercado_MTM Swap Morgan Stanley_MtM Swap Morgan Stanley" xfId="8955"/>
    <cellStyle name="s_Valuation _DB Dados do Mercado_MTM Swap Morgan Stanley_MtM Swap Morgan Stanley 130109" xfId="8956"/>
    <cellStyle name="s_Valuation _DB Dados do Mercado_MtM Swap Out08 CF" xfId="8957"/>
    <cellStyle name="s_Valuation _DB Dados do Mercado_Sistema Cosan" xfId="8958"/>
    <cellStyle name="s_Valuation _DB Dados do Mercado_Sistema Cosan V2" xfId="8959"/>
    <cellStyle name="s_Valuation _DB Dados do Mercado_Sistema Cosan V2_20090210 Fechamento Diário" xfId="8960"/>
    <cellStyle name="s_Valuation _DB Dados do Mercado_Sistema Cosan V2_20090218 Fechamento Diário" xfId="8961"/>
    <cellStyle name="s_Valuation _DB Dados do Mercado_Sistema Cosan V2_BNP  Sugar #11 +10%" xfId="8962"/>
    <cellStyle name="s_Valuation _DB Dados do Mercado_Sistema Cosan V2_Dólar" xfId="8963"/>
    <cellStyle name="s_Valuation _DB Dados do Mercado_Sistema Cosan V2_EXTRAÇÃO EXPOSIÇÃO" xfId="8964"/>
    <cellStyle name="s_Valuation _DB Dados do Mercado_Sistema Cosan V2_Fimat Sugar #11 +10%" xfId="8965"/>
    <cellStyle name="s_Valuation _DB Dados do Mercado_Sistema Cosan V2_Fortis  Sugar #11 +10% " xfId="8966"/>
    <cellStyle name="s_Valuation _DB Dados do Mercado_Sistema Cosan V2_Hencorp Sugar #11 +10%" xfId="8967"/>
    <cellStyle name="s_Valuation _DB Dados do Mercado_Sistema Cosan V2_Natixis Sugar #11 +10% " xfId="8968"/>
    <cellStyle name="s_Valuation _DB Dados do Mercado_Sistema Cosan V2_NDF" xfId="8969"/>
    <cellStyle name="s_Valuation _DB Dados do Mercado_Sistema Cosan V2_Prudential Sugar #11 +10%" xfId="8970"/>
    <cellStyle name="s_Valuation _DB Dados do Mercado_Sistema Cosan V2_Sistema Cosan" xfId="8971"/>
    <cellStyle name="s_Valuation _DB Dados do Mercado_Sistema Cosan V2_Sucden Uk Sugar #11 +10%" xfId="8972"/>
    <cellStyle name="s_Valuation _DB Dados do Mercado_Sistema Cosan V2_Sugar #11" xfId="8973"/>
    <cellStyle name="s_Valuation _DB Dados do Mercado_Sistema Cosan V2_Sugar #11 (2)" xfId="8974"/>
    <cellStyle name="s_Valuation _DB Dados do Mercado_Sistema Cosan V2_Sugar #11 (3)" xfId="8975"/>
    <cellStyle name="s_Valuation _DB Dados do Mercado_Sistema Cosan V2_Sugar #5" xfId="8976"/>
    <cellStyle name="s_Valuation _DB Dados do Mercado_Sistema Cosan V2_Sugar #5 (2)" xfId="8977"/>
    <cellStyle name="s_Valuation _DB Dados do Mercado_Sistema Cosan2" xfId="8978"/>
    <cellStyle name="s_Valuation _Fluxo de Caixa Orcamento FINAL_13052009" xfId="5476"/>
    <cellStyle name="s_Valuation _FM_dummyV4" xfId="5477"/>
    <cellStyle name="s_Valuation _lalur" xfId="5478"/>
    <cellStyle name="s_Valuation _Leasing_V3" xfId="5479"/>
    <cellStyle name="s_Valuation _MODELO PDP III" xfId="5480"/>
    <cellStyle name="s_Valuation _MTM Swap Morgan Stanley" xfId="8979"/>
    <cellStyle name="s_Valuation _MTM Swap Morgan Stanley_MtM Swap Morgan Stanley" xfId="8980"/>
    <cellStyle name="s_Valuation _MTM Swap Morgan Stanley_MtM Swap Morgan Stanley 130109" xfId="8981"/>
    <cellStyle name="s_Valuation _MtM Swap Out08 CF" xfId="8982"/>
    <cellStyle name="s_Valuation _NDF" xfId="8983"/>
    <cellStyle name="s_Valuation _NDF_MTM Swap Morgan Stanley" xfId="8984"/>
    <cellStyle name="s_Valuation _NDF_MtM Swap Morgan Stanley 130109" xfId="8985"/>
    <cellStyle name="s_Valuation _ORÇ_2009" xfId="5481"/>
    <cellStyle name="s_Valuation _Pasta2" xfId="5482"/>
    <cellStyle name="s_Valuation _Q2 pipeline" xfId="5483"/>
    <cellStyle name="s_Valuation _Q2 pipeline 2" xfId="8986"/>
    <cellStyle name="s_Valuation _Q2 pipeline_Cópia de Modelo - Fluxo de Caixa Orcamento 09052009_V36_3" xfId="5484"/>
    <cellStyle name="s_Valuation _Q2 pipeline_Cópia de Modelo - Fluxo de Caixa Orcamento 09052009_V36_3 2" xfId="8987"/>
    <cellStyle name="s_Valuation _Q2 pipeline_Fluxo de Caixa Orcamento FINAL_13052009" xfId="5485"/>
    <cellStyle name="s_Valuation _Q2 pipeline_Fluxo de Caixa Orcamento FINAL_13052009 2" xfId="8988"/>
    <cellStyle name="s_Valuation _Q2 pipeline_FM_dummyV4" xfId="5486"/>
    <cellStyle name="s_Valuation _Q2 pipeline_lalur" xfId="5487"/>
    <cellStyle name="s_Valuation _Q2 pipeline_Leasing_V3" xfId="5488"/>
    <cellStyle name="s_Valuation _Q2 pipeline_MODELO PDP III" xfId="5489"/>
    <cellStyle name="s_Valuation _Q2 pipeline_ORÇ_2009" xfId="5490"/>
    <cellStyle name="s_Valuation _Q2 pipeline_ORÇ_2009 2" xfId="8989"/>
    <cellStyle name="s_Valuation _Q2 pipeline_Pasta2" xfId="5491"/>
    <cellStyle name="s_Valuation _Q2 pipeline_Pasta2 2" xfId="8990"/>
    <cellStyle name="s_Valuation _Sheet1" xfId="8991"/>
    <cellStyle name="s_Valuation _Sheet1_MTM Swap Morgan Stanley" xfId="8992"/>
    <cellStyle name="s_Valuation _Sheet1_MtM Swap Morgan Stanley 130109" xfId="8993"/>
    <cellStyle name="s_Valuation _Sheet3" xfId="8994"/>
    <cellStyle name="s_Valuation _Sheet3_MTM Swap Morgan Stanley" xfId="8995"/>
    <cellStyle name="s_Valuation _Sheet3_MtM Swap Morgan Stanley 130109" xfId="8996"/>
    <cellStyle name="s_Valuation _Swap - Fluxo Caixa" xfId="8997"/>
    <cellStyle name="s_Valuation _Swap - Fluxo Caixa_MTM Swap Morgan Stanley" xfId="8998"/>
    <cellStyle name="s_Valuation _Swap - Fluxo Caixa_MtM Swap Morgan Stanley 130109" xfId="8999"/>
    <cellStyle name="s_Valuation Matrix" xfId="5492"/>
    <cellStyle name="s_Valuation Matrix_Comparativo VP FIN v1_So 2008" xfId="9000"/>
    <cellStyle name="s_Valuation Matrix_Comparativo VP MKT 2008 v1_So 2008" xfId="9001"/>
    <cellStyle name="s_Valuation Matrix_Comparativo VP TEC 2008 v1_So 2008" xfId="9002"/>
    <cellStyle name="s_Valuation Matrix_Comparativo VP TEC 2008_Luiz Sergio" xfId="9003"/>
    <cellStyle name="s_Valuation Matrix_Cópia de Modelo - Fluxo de Caixa Orcamento 09052009_V36_3" xfId="5493"/>
    <cellStyle name="s_Valuation Matrix_Fluxo de Caixa Orcamento FINAL_13052009" xfId="5494"/>
    <cellStyle name="s_Valuation Matrix_FM_dummyV4" xfId="5495"/>
    <cellStyle name="s_Valuation Matrix_lalur" xfId="5496"/>
    <cellStyle name="s_Valuation Matrix_Leasing_V3" xfId="5497"/>
    <cellStyle name="s_Valuation Matrix_MODELO PDP III" xfId="5498"/>
    <cellStyle name="s_Valuation Matrix_ORÇ_2009" xfId="5499"/>
    <cellStyle name="s_Valuation Matrix_Pasta2" xfId="5500"/>
    <cellStyle name="s_Valuation Summary" xfId="5501"/>
    <cellStyle name="s_Valuation Summary (2)" xfId="5502"/>
    <cellStyle name="s_Valuation Summary (2)_1" xfId="5503"/>
    <cellStyle name="s_Valuation Summary (2)_1_Celtic DCF" xfId="5504"/>
    <cellStyle name="s_Valuation Summary (2)_1_Celtic DCF Inputs" xfId="5505"/>
    <cellStyle name="s_Valuation Summary (2)_1_Celtic DCF Inputs_Comparativo VP FIN v1_So 2008" xfId="9004"/>
    <cellStyle name="s_Valuation Summary (2)_1_Celtic DCF Inputs_Comparativo VP MKT 2008 v1_So 2008" xfId="9005"/>
    <cellStyle name="s_Valuation Summary (2)_1_Celtic DCF Inputs_Comparativo VP TEC 2008 v1_So 2008" xfId="9006"/>
    <cellStyle name="s_Valuation Summary (2)_1_Celtic DCF Inputs_Comparativo VP TEC 2008_Luiz Sergio" xfId="9007"/>
    <cellStyle name="s_Valuation Summary (2)_1_Celtic DCF Inputs_Cópia de Modelo - Fluxo de Caixa Orcamento 09052009_V36_3" xfId="5506"/>
    <cellStyle name="s_Valuation Summary (2)_1_Celtic DCF Inputs_Fluxo de Caixa Orcamento FINAL_13052009" xfId="5507"/>
    <cellStyle name="s_Valuation Summary (2)_1_Celtic DCF Inputs_FM_dummyV4" xfId="5508"/>
    <cellStyle name="s_Valuation Summary (2)_1_Celtic DCF Inputs_lalur" xfId="5509"/>
    <cellStyle name="s_Valuation Summary (2)_1_Celtic DCF Inputs_Leasing_V3" xfId="5510"/>
    <cellStyle name="s_Valuation Summary (2)_1_Celtic DCF Inputs_MODELO PDP III" xfId="5511"/>
    <cellStyle name="s_Valuation Summary (2)_1_Celtic DCF Inputs_ORÇ_2009" xfId="5512"/>
    <cellStyle name="s_Valuation Summary (2)_1_Celtic DCF Inputs_Pasta2" xfId="5513"/>
    <cellStyle name="s_Valuation Summary (2)_1_Celtic DCF_Comparativo VP FIN v1_So 2008" xfId="9008"/>
    <cellStyle name="s_Valuation Summary (2)_1_Celtic DCF_Comparativo VP MKT 2008 v1_So 2008" xfId="9009"/>
    <cellStyle name="s_Valuation Summary (2)_1_Celtic DCF_Comparativo VP TEC 2008 v1_So 2008" xfId="9010"/>
    <cellStyle name="s_Valuation Summary (2)_1_Celtic DCF_Comparativo VP TEC 2008_Luiz Sergio" xfId="9011"/>
    <cellStyle name="s_Valuation Summary (2)_1_Celtic DCF_Cópia de Modelo - Fluxo de Caixa Orcamento 09052009_V36_3" xfId="5514"/>
    <cellStyle name="s_Valuation Summary (2)_1_Celtic DCF_Fluxo de Caixa Orcamento FINAL_13052009" xfId="5515"/>
    <cellStyle name="s_Valuation Summary (2)_1_Celtic DCF_FM_dummyV4" xfId="5516"/>
    <cellStyle name="s_Valuation Summary (2)_1_Celtic DCF_lalur" xfId="5517"/>
    <cellStyle name="s_Valuation Summary (2)_1_Celtic DCF_Leasing_V3" xfId="5518"/>
    <cellStyle name="s_Valuation Summary (2)_1_Celtic DCF_MODELO PDP III" xfId="5519"/>
    <cellStyle name="s_Valuation Summary (2)_1_Celtic DCF_ORÇ_2009" xfId="5520"/>
    <cellStyle name="s_Valuation Summary (2)_1_Celtic DCF_Pasta2" xfId="5521"/>
    <cellStyle name="s_Valuation Summary (2)_1_Comparativo VP FIN v1_So 2008" xfId="9012"/>
    <cellStyle name="s_Valuation Summary (2)_1_Comparativo VP MKT 2008 v1_So 2008" xfId="9013"/>
    <cellStyle name="s_Valuation Summary (2)_1_Comparativo VP TEC 2008 v1_So 2008" xfId="9014"/>
    <cellStyle name="s_Valuation Summary (2)_1_Comparativo VP TEC 2008_Luiz Sergio" xfId="9015"/>
    <cellStyle name="s_Valuation Summary (2)_1_Cópia de Modelo - Fluxo de Caixa Orcamento 09052009_V36_3" xfId="5522"/>
    <cellStyle name="s_Valuation Summary (2)_1_Fluxo de Caixa Orcamento FINAL_13052009" xfId="5523"/>
    <cellStyle name="s_Valuation Summary (2)_1_FM_dummyV4" xfId="5524"/>
    <cellStyle name="s_Valuation Summary (2)_1_lalur" xfId="5525"/>
    <cellStyle name="s_Valuation Summary (2)_1_Leasing_V3" xfId="5526"/>
    <cellStyle name="s_Valuation Summary (2)_1_MODELO PDP III" xfId="5527"/>
    <cellStyle name="s_Valuation Summary (2)_1_ORÇ_2009" xfId="5528"/>
    <cellStyle name="s_Valuation Summary (2)_1_Pasta2" xfId="5529"/>
    <cellStyle name="s_Valuation Summary (2)_1_Valuation Summary" xfId="5530"/>
    <cellStyle name="s_Valuation Summary (2)_1_Valuation Summary_Comparativo VP FIN v1_So 2008" xfId="9016"/>
    <cellStyle name="s_Valuation Summary (2)_1_Valuation Summary_Comparativo VP MKT 2008 v1_So 2008" xfId="9017"/>
    <cellStyle name="s_Valuation Summary (2)_1_Valuation Summary_Comparativo VP TEC 2008 v1_So 2008" xfId="9018"/>
    <cellStyle name="s_Valuation Summary (2)_1_Valuation Summary_Comparativo VP TEC 2008_Luiz Sergio" xfId="9019"/>
    <cellStyle name="s_Valuation Summary (2)_1_Valuation Summary_Cópia de Modelo - Fluxo de Caixa Orcamento 09052009_V36_3" xfId="5531"/>
    <cellStyle name="s_Valuation Summary (2)_1_Valuation Summary_Fluxo de Caixa Orcamento FINAL_13052009" xfId="5532"/>
    <cellStyle name="s_Valuation Summary (2)_1_Valuation Summary_FM_dummyV4" xfId="5533"/>
    <cellStyle name="s_Valuation Summary (2)_1_Valuation Summary_lalur" xfId="5534"/>
    <cellStyle name="s_Valuation Summary (2)_1_Valuation Summary_Leasing_V3" xfId="5535"/>
    <cellStyle name="s_Valuation Summary (2)_1_Valuation Summary_MODELO PDP III" xfId="5536"/>
    <cellStyle name="s_Valuation Summary (2)_1_Valuation Summary_ORÇ_2009" xfId="5537"/>
    <cellStyle name="s_Valuation Summary (2)_1_Valuation Summary_Pasta2" xfId="5538"/>
    <cellStyle name="s_Valuation Summary (2)_2" xfId="5539"/>
    <cellStyle name="s_Valuation Summary (2)_2_Comparativo VP FIN v1_So 2008" xfId="9020"/>
    <cellStyle name="s_Valuation Summary (2)_2_Comparativo VP MKT 2008 v1_So 2008" xfId="9021"/>
    <cellStyle name="s_Valuation Summary (2)_2_Comparativo VP TEC 2008 v1_So 2008" xfId="9022"/>
    <cellStyle name="s_Valuation Summary (2)_2_Comparativo VP TEC 2008_Luiz Sergio" xfId="9023"/>
    <cellStyle name="s_Valuation Summary (2)_2_Cópia de Modelo - Fluxo de Caixa Orcamento 09052009_V36_3" xfId="5540"/>
    <cellStyle name="s_Valuation Summary (2)_2_Fluxo de Caixa Orcamento FINAL_13052009" xfId="5541"/>
    <cellStyle name="s_Valuation Summary (2)_2_FM_dummyV4" xfId="5542"/>
    <cellStyle name="s_Valuation Summary (2)_2_lalur" xfId="5543"/>
    <cellStyle name="s_Valuation Summary (2)_2_Leasing_V3" xfId="5544"/>
    <cellStyle name="s_Valuation Summary (2)_2_MODELO PDP III" xfId="5545"/>
    <cellStyle name="s_Valuation Summary (2)_2_ORÇ_2009" xfId="5546"/>
    <cellStyle name="s_Valuation Summary (2)_2_Pasta2" xfId="5547"/>
    <cellStyle name="s_Valuation Summary (2)_Comparativo VP FIN v1_So 2008" xfId="9024"/>
    <cellStyle name="s_Valuation Summary (2)_Comparativo VP MKT 2008 v1_So 2008" xfId="9025"/>
    <cellStyle name="s_Valuation Summary (2)_Comparativo VP TEC 2008 v1_So 2008" xfId="9026"/>
    <cellStyle name="s_Valuation Summary (2)_Comparativo VP TEC 2008_Luiz Sergio" xfId="9027"/>
    <cellStyle name="s_Valuation Summary (2)_Cópia de Modelo - Fluxo de Caixa Orcamento 09052009_V36_3" xfId="5548"/>
    <cellStyle name="s_Valuation Summary (2)_Fluxo de Caixa Orcamento FINAL_13052009" xfId="5549"/>
    <cellStyle name="s_Valuation Summary (2)_FM_dummyV4" xfId="5550"/>
    <cellStyle name="s_Valuation Summary (2)_lalur" xfId="5551"/>
    <cellStyle name="s_Valuation Summary (2)_Leasing_V3" xfId="5552"/>
    <cellStyle name="s_Valuation Summary (2)_MODELO PDP III" xfId="5553"/>
    <cellStyle name="s_Valuation Summary (2)_ORÇ_2009" xfId="5554"/>
    <cellStyle name="s_Valuation Summary (2)_Pasta2" xfId="5555"/>
    <cellStyle name="s_Valuation Summary_1" xfId="5556"/>
    <cellStyle name="s_Valuation Summary_1_Comparativo VP FIN v1_So 2008" xfId="9028"/>
    <cellStyle name="s_Valuation Summary_1_Comparativo VP MKT 2008 v1_So 2008" xfId="9029"/>
    <cellStyle name="s_Valuation Summary_1_Comparativo VP TEC 2008 v1_So 2008" xfId="9030"/>
    <cellStyle name="s_Valuation Summary_1_Comparativo VP TEC 2008_Luiz Sergio" xfId="9031"/>
    <cellStyle name="s_Valuation Summary_1_Cópia de Modelo - Fluxo de Caixa Orcamento 09052009_V36_3" xfId="5557"/>
    <cellStyle name="s_Valuation Summary_1_Fluxo de Caixa Orcamento FINAL_13052009" xfId="5558"/>
    <cellStyle name="s_Valuation Summary_1_FM_dummyV4" xfId="5559"/>
    <cellStyle name="s_Valuation Summary_1_lalur" xfId="5560"/>
    <cellStyle name="s_Valuation Summary_1_Leasing_V3" xfId="5561"/>
    <cellStyle name="s_Valuation Summary_1_MODELO PDP III" xfId="5562"/>
    <cellStyle name="s_Valuation Summary_1_ORÇ_2009" xfId="5563"/>
    <cellStyle name="s_Valuation Summary_1_Pasta2" xfId="5564"/>
    <cellStyle name="s_Valuation Summary_2" xfId="5565"/>
    <cellStyle name="s_Valuation Summary_2_Comparativo VP FIN v1_So 2008" xfId="9032"/>
    <cellStyle name="s_Valuation Summary_2_Comparativo VP MKT 2008 v1_So 2008" xfId="9033"/>
    <cellStyle name="s_Valuation Summary_2_Comparativo VP TEC 2008 v1_So 2008" xfId="9034"/>
    <cellStyle name="s_Valuation Summary_2_Comparativo VP TEC 2008_Luiz Sergio" xfId="9035"/>
    <cellStyle name="s_Valuation Summary_2_Cópia de Modelo - Fluxo de Caixa Orcamento 09052009_V36_3" xfId="5566"/>
    <cellStyle name="s_Valuation Summary_2_Fluxo de Caixa Orcamento FINAL_13052009" xfId="5567"/>
    <cellStyle name="s_Valuation Summary_2_FM_dummyV4" xfId="5568"/>
    <cellStyle name="s_Valuation Summary_2_lalur" xfId="5569"/>
    <cellStyle name="s_Valuation Summary_2_Leasing_V3" xfId="5570"/>
    <cellStyle name="s_Valuation Summary_2_MODELO PDP III" xfId="5571"/>
    <cellStyle name="s_Valuation Summary_2_ORÇ_2009" xfId="5572"/>
    <cellStyle name="s_Valuation Summary_2_Pasta2" xfId="5573"/>
    <cellStyle name="s_Valuation Summary_Comparativo VP FIN v1_So 2008" xfId="9036"/>
    <cellStyle name="s_Valuation Summary_Comparativo VP MKT 2008 v1_So 2008" xfId="9037"/>
    <cellStyle name="s_Valuation Summary_Comparativo VP TEC 2008 v1_So 2008" xfId="9038"/>
    <cellStyle name="s_Valuation Summary_Comparativo VP TEC 2008_Luiz Sergio" xfId="9039"/>
    <cellStyle name="s_Valuation Summary_Cópia de Modelo - Fluxo de Caixa Orcamento 09052009_V36_3" xfId="5574"/>
    <cellStyle name="s_Valuation Summary_Fluxo de Caixa Orcamento FINAL_13052009" xfId="5575"/>
    <cellStyle name="s_Valuation Summary_FM_dummyV4" xfId="5576"/>
    <cellStyle name="s_Valuation Summary_lalur" xfId="5577"/>
    <cellStyle name="s_Valuation Summary_Leasing_V3" xfId="5578"/>
    <cellStyle name="s_Valuation Summary_MODELO PDP III" xfId="5579"/>
    <cellStyle name="s_Valuation Summary_ORÇ_2009" xfId="5580"/>
    <cellStyle name="s_Valuation Summary_Pasta2" xfId="5581"/>
    <cellStyle name="s_vmatrix bb" xfId="5582"/>
    <cellStyle name="s_vmatrix bb_Comparativo VP FIN v1_So 2008" xfId="9040"/>
    <cellStyle name="s_vmatrix bb_Comparativo VP MKT 2008 v1_So 2008" xfId="9041"/>
    <cellStyle name="s_vmatrix bb_Comparativo VP TEC 2008 v1_So 2008" xfId="9042"/>
    <cellStyle name="s_vmatrix bb_Comparativo VP TEC 2008_Luiz Sergio" xfId="9043"/>
    <cellStyle name="s_vmatrix bb_Cópia de Modelo - Fluxo de Caixa Orcamento 09052009_V36_3" xfId="5583"/>
    <cellStyle name="s_vmatrix bb_Fluxo de Caixa Orcamento FINAL_13052009" xfId="5584"/>
    <cellStyle name="s_vmatrix bb_FM_dummyV4" xfId="5585"/>
    <cellStyle name="s_vmatrix bb_lalur" xfId="5586"/>
    <cellStyle name="s_vmatrix bb_Leasing_V3" xfId="5587"/>
    <cellStyle name="s_vmatrix bb_MODELO PDP III" xfId="5588"/>
    <cellStyle name="s_vmatrix bb_ORÇ_2009" xfId="5589"/>
    <cellStyle name="s_vmatrix bb_Pasta2" xfId="5590"/>
    <cellStyle name="s_vmatrix bb_Q2 pipeline" xfId="5591"/>
    <cellStyle name="s_vmatrix bb_Q2 pipeline 2" xfId="9044"/>
    <cellStyle name="s_vmatrix bb_Q2 pipeline_Cópia de Modelo - Fluxo de Caixa Orcamento 09052009_V36_3" xfId="5592"/>
    <cellStyle name="s_vmatrix bb_Q2 pipeline_Cópia de Modelo - Fluxo de Caixa Orcamento 09052009_V36_3 2" xfId="9045"/>
    <cellStyle name="s_vmatrix bb_Q2 pipeline_Fluxo de Caixa Orcamento FINAL_13052009" xfId="5593"/>
    <cellStyle name="s_vmatrix bb_Q2 pipeline_Fluxo de Caixa Orcamento FINAL_13052009 2" xfId="9046"/>
    <cellStyle name="s_vmatrix bb_Q2 pipeline_FM_dummyV4" xfId="5594"/>
    <cellStyle name="s_vmatrix bb_Q2 pipeline_lalur" xfId="5595"/>
    <cellStyle name="s_vmatrix bb_Q2 pipeline_Leasing_V3" xfId="5596"/>
    <cellStyle name="s_vmatrix bb_Q2 pipeline_MODELO PDP III" xfId="5597"/>
    <cellStyle name="s_vmatrix bb_Q2 pipeline_ORÇ_2009" xfId="5598"/>
    <cellStyle name="s_vmatrix bb_Q2 pipeline_ORÇ_2009 2" xfId="9047"/>
    <cellStyle name="s_vmatrix bb_Q2 pipeline_Pasta2" xfId="5599"/>
    <cellStyle name="s_vmatrix bb_Q2 pipeline_Pasta2 2" xfId="9048"/>
    <cellStyle name="s_Warrant" xfId="5600"/>
    <cellStyle name="s_Warrant_1" xfId="5601"/>
    <cellStyle name="s_Warrant_1_Comparativo VP FIN v1_So 2008" xfId="9049"/>
    <cellStyle name="s_Warrant_1_Comparativo VP MKT 2008 v1_So 2008" xfId="9050"/>
    <cellStyle name="s_Warrant_1_Comparativo VP TEC 2008 v1_So 2008" xfId="9051"/>
    <cellStyle name="s_Warrant_1_Comparativo VP TEC 2008_Luiz Sergio" xfId="9052"/>
    <cellStyle name="s_Warrant_1_Cópia de Modelo - Fluxo de Caixa Orcamento 09052009_V36_3" xfId="5602"/>
    <cellStyle name="s_Warrant_1_Fluxo de Caixa Orcamento FINAL_13052009" xfId="5603"/>
    <cellStyle name="s_Warrant_1_FM_dummyV4" xfId="5604"/>
    <cellStyle name="s_Warrant_1_lalur" xfId="5605"/>
    <cellStyle name="s_Warrant_1_Leasing_V3" xfId="5606"/>
    <cellStyle name="s_Warrant_1_MODELO PDP III" xfId="5607"/>
    <cellStyle name="s_Warrant_1_ORÇ_2009" xfId="5608"/>
    <cellStyle name="s_Warrant_1_Pasta2" xfId="5609"/>
    <cellStyle name="s_Warrant_2" xfId="5610"/>
    <cellStyle name="s_Warrant_2_Comparativo VP FIN v1_So 2008" xfId="9053"/>
    <cellStyle name="s_Warrant_2_Comparativo VP MKT 2008 v1_So 2008" xfId="9054"/>
    <cellStyle name="s_Warrant_2_Comparativo VP TEC 2008 v1_So 2008" xfId="9055"/>
    <cellStyle name="s_Warrant_2_Comparativo VP TEC 2008_Luiz Sergio" xfId="9056"/>
    <cellStyle name="s_Warrant_2_Cópia de Modelo - Fluxo de Caixa Orcamento 09052009_V36_3" xfId="5611"/>
    <cellStyle name="s_Warrant_2_Fluxo de Caixa Orcamento FINAL_13052009" xfId="5612"/>
    <cellStyle name="s_Warrant_2_FM_dummyV4" xfId="5613"/>
    <cellStyle name="s_Warrant_2_lalur" xfId="5614"/>
    <cellStyle name="s_Warrant_2_Leasing_V3" xfId="5615"/>
    <cellStyle name="s_Warrant_2_MODELO PDP III" xfId="5616"/>
    <cellStyle name="s_Warrant_2_ORÇ_2009" xfId="5617"/>
    <cellStyle name="s_Warrant_2_Pasta2" xfId="5618"/>
    <cellStyle name="s_Warrant_Comparativo VP FIN v1_So 2008" xfId="9057"/>
    <cellStyle name="s_Warrant_Comparativo VP MKT 2008 v1_So 2008" xfId="9058"/>
    <cellStyle name="s_Warrant_Comparativo VP TEC 2008 v1_So 2008" xfId="9059"/>
    <cellStyle name="s_Warrant_Comparativo VP TEC 2008_Luiz Sergio" xfId="9060"/>
    <cellStyle name="s_Warrant_Cópia de Modelo - Fluxo de Caixa Orcamento 09052009_V36_3" xfId="5619"/>
    <cellStyle name="s_Warrant_Fluxo de Caixa Orcamento FINAL_13052009" xfId="5620"/>
    <cellStyle name="s_Warrant_FM_dummyV4" xfId="5621"/>
    <cellStyle name="s_Warrant_lalur" xfId="5622"/>
    <cellStyle name="s_Warrant_Leasing_V3" xfId="5623"/>
    <cellStyle name="s_Warrant_MODELO PDP III" xfId="5624"/>
    <cellStyle name="s_Warrant_ORÇ_2009" xfId="5625"/>
    <cellStyle name="s_Warrant_Pasta2" xfId="5626"/>
    <cellStyle name="Saída 2" xfId="44"/>
    <cellStyle name="Saída 2 2" xfId="9061"/>
    <cellStyle name="Saída 3" xfId="9062"/>
    <cellStyle name="Saída 3 2" xfId="9063"/>
    <cellStyle name="Saída 4" xfId="9064"/>
    <cellStyle name="Saída 4 2" xfId="9065"/>
    <cellStyle name="Saída 5" xfId="6250"/>
    <cellStyle name="Saldo" xfId="5627"/>
    <cellStyle name="Salomon Logo" xfId="5628"/>
    <cellStyle name="SAPBEXaggData" xfId="9066"/>
    <cellStyle name="SAPBEXaggItem" xfId="9067"/>
    <cellStyle name="SAPBEXchaText" xfId="9068"/>
    <cellStyle name="SAPBEXstdData" xfId="9069"/>
    <cellStyle name="SAPBEXstdItem" xfId="9070"/>
    <cellStyle name="ScripFactor" xfId="5629"/>
    <cellStyle name="SectionHeading" xfId="5630"/>
    <cellStyle name="Sep. milhar [0]" xfId="5631"/>
    <cellStyle name="Separador de m" xfId="5632"/>
    <cellStyle name="Separador de milhares [0] 2" xfId="5633"/>
    <cellStyle name="Separador de milhares 10" xfId="5634"/>
    <cellStyle name="Separador de milhares 10 2" xfId="5635"/>
    <cellStyle name="Separador de milhares 10 2 2" xfId="5636"/>
    <cellStyle name="Separador de milhares 10 2 2 2" xfId="9644"/>
    <cellStyle name="Separador de milhares 10 2 3" xfId="9645"/>
    <cellStyle name="Separador de milhares 10 3" xfId="5637"/>
    <cellStyle name="Separador de milhares 10 3 2" xfId="9646"/>
    <cellStyle name="Separador de milhares 10 4" xfId="9647"/>
    <cellStyle name="Separador de milhares 11" xfId="5638"/>
    <cellStyle name="Separador de milhares 11 2" xfId="5639"/>
    <cellStyle name="Separador de milhares 11 2 2" xfId="5640"/>
    <cellStyle name="Separador de milhares 11 2 2 2" xfId="9648"/>
    <cellStyle name="Separador de milhares 11 2 3" xfId="9649"/>
    <cellStyle name="Separador de milhares 11 3" xfId="5641"/>
    <cellStyle name="Separador de milhares 11 3 2" xfId="9650"/>
    <cellStyle name="Separador de milhares 11 4" xfId="9651"/>
    <cellStyle name="Separador de milhares 12" xfId="5642"/>
    <cellStyle name="Separador de milhares 12 2" xfId="5643"/>
    <cellStyle name="Separador de milhares 12 2 2" xfId="5644"/>
    <cellStyle name="Separador de milhares 12 2 2 2" xfId="9652"/>
    <cellStyle name="Separador de milhares 12 2 3" xfId="9653"/>
    <cellStyle name="Separador de milhares 12 3" xfId="5645"/>
    <cellStyle name="Separador de milhares 12 3 2" xfId="9654"/>
    <cellStyle name="Separador de milhares 12 4" xfId="9655"/>
    <cellStyle name="Separador de milhares 13" xfId="5646"/>
    <cellStyle name="Separador de milhares 13 2" xfId="5647"/>
    <cellStyle name="Separador de milhares 14" xfId="5648"/>
    <cellStyle name="Separador de milhares 14 2" xfId="5649"/>
    <cellStyle name="Separador de milhares 14 2 2" xfId="5650"/>
    <cellStyle name="Separador de milhares 14 2 2 2" xfId="9656"/>
    <cellStyle name="Separador de milhares 14 2 3" xfId="9657"/>
    <cellStyle name="Separador de milhares 14 3" xfId="5651"/>
    <cellStyle name="Separador de milhares 14 3 2" xfId="9658"/>
    <cellStyle name="Separador de milhares 14 4" xfId="9659"/>
    <cellStyle name="Separador de milhares 2" xfId="5652"/>
    <cellStyle name="Separador de milhares 2 2" xfId="5653"/>
    <cellStyle name="Separador de milhares 2 2 2" xfId="5654"/>
    <cellStyle name="Separador de milhares 2 3" xfId="5655"/>
    <cellStyle name="Separador de milhares 2 3 2" xfId="5656"/>
    <cellStyle name="Separador de milhares 2 3 3" xfId="5657"/>
    <cellStyle name="Separador de milhares 2 3 3 2" xfId="5658"/>
    <cellStyle name="Separador de milhares 2 3 3 2 2" xfId="9660"/>
    <cellStyle name="Separador de milhares 2 3 3 3" xfId="9661"/>
    <cellStyle name="Separador de milhares 2 3 4" xfId="5659"/>
    <cellStyle name="Separador de milhares 2 3 4 2" xfId="9662"/>
    <cellStyle name="Separador de milhares 2 3 5" xfId="9663"/>
    <cellStyle name="Separador de milhares 2 4" xfId="5660"/>
    <cellStyle name="Separador de milhares 2 4 2" xfId="5661"/>
    <cellStyle name="Separador de milhares 2 4 2 2" xfId="5662"/>
    <cellStyle name="Separador de milhares 2 4 2 2 2" xfId="9664"/>
    <cellStyle name="Separador de milhares 2 4 2 3" xfId="9665"/>
    <cellStyle name="Separador de milhares 2 4 3" xfId="5663"/>
    <cellStyle name="Separador de milhares 2 4 3 2" xfId="9666"/>
    <cellStyle name="Separador de milhares 2 4 4" xfId="9667"/>
    <cellStyle name="Separador de milhares 2 5" xfId="5664"/>
    <cellStyle name="Separador de milhares 3" xfId="5665"/>
    <cellStyle name="Separador de milhares 3 2" xfId="5666"/>
    <cellStyle name="Separador de milhares 3 3" xfId="5667"/>
    <cellStyle name="Separador de milhares 4" xfId="5668"/>
    <cellStyle name="Separador de milhares 4 2" xfId="5669"/>
    <cellStyle name="Separador de milhares 4 2 2" xfId="9071"/>
    <cellStyle name="Separador de milhares 4 3" xfId="9072"/>
    <cellStyle name="Separador de milhares 5" xfId="5670"/>
    <cellStyle name="Separador de milhares 5 2" xfId="9073"/>
    <cellStyle name="Separador de milhares 6" xfId="5671"/>
    <cellStyle name="Separador de milhares 7" xfId="5672"/>
    <cellStyle name="Separador de milhares 8" xfId="5673"/>
    <cellStyle name="Separador de milhares 8 2" xfId="9074"/>
    <cellStyle name="Separador de milhares 9" xfId="5674"/>
    <cellStyle name="Shaded" xfId="5675"/>
    <cellStyle name="Shaded 2" xfId="5676"/>
    <cellStyle name="Shading" xfId="5677"/>
    <cellStyle name="Sheet Title" xfId="9075"/>
    <cellStyle name="srh" xfId="9076"/>
    <cellStyle name="ss0" xfId="5678"/>
    <cellStyle name="ss0 2" xfId="9077"/>
    <cellStyle name="ss1" xfId="5679"/>
    <cellStyle name="ss1 2" xfId="9078"/>
    <cellStyle name="ss2" xfId="5680"/>
    <cellStyle name="ss2 2" xfId="9079"/>
    <cellStyle name="ssp " xfId="5681"/>
    <cellStyle name="ssubtitulo" xfId="5682"/>
    <cellStyle name="st" xfId="5683"/>
    <cellStyle name="Standaard_laroux" xfId="9080"/>
    <cellStyle name="STANDARD" xfId="9081"/>
    <cellStyle name="Style 1" xfId="9082"/>
    <cellStyle name="Style 26" xfId="5684"/>
    <cellStyle name="Style 26 2" xfId="9083"/>
    <cellStyle name="SubHead" xfId="5685"/>
    <cellStyle name="subtitulo" xfId="5686"/>
    <cellStyle name="Sub-Título" xfId="5687"/>
    <cellStyle name="SubTítulo1" xfId="5688"/>
    <cellStyle name="Subtotal" xfId="9084"/>
    <cellStyle name="Subtotal1" xfId="5689"/>
    <cellStyle name="Sum" xfId="5690"/>
    <cellStyle name="Sum %of HV" xfId="5691"/>
    <cellStyle name="t" xfId="5692"/>
    <cellStyle name="t 2" xfId="9085"/>
    <cellStyle name="t_Comparativo VP FIN v1_So 2008" xfId="9086"/>
    <cellStyle name="t_Comparativo VP FIN v1_So 2008 2" xfId="9087"/>
    <cellStyle name="t_Comparativo VP MKT 2008 v1_So 2008" xfId="9088"/>
    <cellStyle name="t_Comparativo VP MKT 2008 v1_So 2008 2" xfId="9089"/>
    <cellStyle name="t_Comparativo VP TEC 2008 v1_So 2008" xfId="9090"/>
    <cellStyle name="t_Comparativo VP TEC 2008 v1_So 2008 2" xfId="9091"/>
    <cellStyle name="t_Comparativo VP TEC 2008_Luiz Sergio" xfId="9092"/>
    <cellStyle name="t_Comparativo VP TEC 2008_Luiz Sergio 2" xfId="9093"/>
    <cellStyle name="t_Cópia de Modelo - Fluxo de Caixa Orcamento 09052009_V36_3" xfId="5693"/>
    <cellStyle name="t_Fluxo de Caixa Orcamento FINAL_13052009" xfId="5694"/>
    <cellStyle name="t_FM_dummyV4" xfId="5695"/>
    <cellStyle name="t_lalur" xfId="5696"/>
    <cellStyle name="t_Leasing_V3" xfId="5697"/>
    <cellStyle name="t_lux_compsXM" xfId="5698"/>
    <cellStyle name="t_lux_compsXM_Comparativo VP FIN v1_So 2008" xfId="9094"/>
    <cellStyle name="t_lux_compsXM_Comparativo VP MKT 2008 v1_So 2008" xfId="9095"/>
    <cellStyle name="t_lux_compsXM_Comparativo VP TEC 2008 v1_So 2008" xfId="9096"/>
    <cellStyle name="t_lux_compsXM_Comparativo VP TEC 2008_Luiz Sergio" xfId="9097"/>
    <cellStyle name="t_lux_compsXM_Cópia de Modelo - Fluxo de Caixa Orcamento 09052009_V36_3" xfId="5699"/>
    <cellStyle name="t_lux_compsXM_Fluxo de Caixa Orcamento FINAL_13052009" xfId="5700"/>
    <cellStyle name="t_lux_compsXM_FM_dummyV4" xfId="5701"/>
    <cellStyle name="t_lux_compsXM_lalur" xfId="5702"/>
    <cellStyle name="t_lux_compsXM_Leasing_V3" xfId="5703"/>
    <cellStyle name="t_lux_compsXM_MODELO PDP III" xfId="5704"/>
    <cellStyle name="t_lux_compsXM_ORÇ_2009" xfId="5705"/>
    <cellStyle name="t_lux_compsXM_Pasta2" xfId="5706"/>
    <cellStyle name="t_Manager" xfId="5707"/>
    <cellStyle name="t_Manager 2" xfId="9098"/>
    <cellStyle name="t_Manager_Comparativo VP FIN v1_So 2008" xfId="9099"/>
    <cellStyle name="t_Manager_Comparativo VP FIN v1_So 2008 2" xfId="9100"/>
    <cellStyle name="t_Manager_Comparativo VP MKT 2008 v1_So 2008" xfId="9101"/>
    <cellStyle name="t_Manager_Comparativo VP MKT 2008 v1_So 2008 2" xfId="9102"/>
    <cellStyle name="t_Manager_Comparativo VP TEC 2008 v1_So 2008" xfId="9103"/>
    <cellStyle name="t_Manager_Comparativo VP TEC 2008 v1_So 2008 2" xfId="9104"/>
    <cellStyle name="t_Manager_Comparativo VP TEC 2008_Luiz Sergio" xfId="9105"/>
    <cellStyle name="t_Manager_Comparativo VP TEC 2008_Luiz Sergio 2" xfId="9106"/>
    <cellStyle name="t_Manager_Cópia de Modelo - Fluxo de Caixa Orcamento 09052009_V36_3" xfId="5708"/>
    <cellStyle name="t_Manager_Fluxo de Caixa Orcamento FINAL_13052009" xfId="5709"/>
    <cellStyle name="t_Manager_FM_dummyV4" xfId="5710"/>
    <cellStyle name="t_Manager_lalur" xfId="5711"/>
    <cellStyle name="t_Manager_Leasing_V3" xfId="5712"/>
    <cellStyle name="t_Manager_MODELO PDP III" xfId="5713"/>
    <cellStyle name="t_Manager_ORÇ_2009" xfId="5714"/>
    <cellStyle name="t_Manager_Pasta2" xfId="5715"/>
    <cellStyle name="t_Manager_Q2 pipeline" xfId="5716"/>
    <cellStyle name="t_Manager_Q2 pipeline 2" xfId="9107"/>
    <cellStyle name="t_Manager_Q2 pipeline_Cópia de Modelo - Fluxo de Caixa Orcamento 09052009_V36_3" xfId="5717"/>
    <cellStyle name="t_Manager_Q2 pipeline_Cópia de Modelo - Fluxo de Caixa Orcamento 09052009_V36_3 2" xfId="9108"/>
    <cellStyle name="t_Manager_Q2 pipeline_Fluxo de Caixa Orcamento FINAL_13052009" xfId="5718"/>
    <cellStyle name="t_Manager_Q2 pipeline_Fluxo de Caixa Orcamento FINAL_13052009 2" xfId="9109"/>
    <cellStyle name="t_Manager_Q2 pipeline_FM_dummyV4" xfId="5719"/>
    <cellStyle name="t_Manager_Q2 pipeline_lalur" xfId="5720"/>
    <cellStyle name="t_Manager_Q2 pipeline_Leasing_V3" xfId="5721"/>
    <cellStyle name="t_Manager_Q2 pipeline_MODELO PDP III" xfId="5722"/>
    <cellStyle name="t_Manager_Q2 pipeline_ORÇ_2009" xfId="5723"/>
    <cellStyle name="t_Manager_Q2 pipeline_ORÇ_2009 2" xfId="9110"/>
    <cellStyle name="t_Manager_Q2 pipeline_Pasta2" xfId="5724"/>
    <cellStyle name="t_Manager_Q2 pipeline_Pasta2 2" xfId="9111"/>
    <cellStyle name="t_marlswat" xfId="5725"/>
    <cellStyle name="t_marlswat 2" xfId="9112"/>
    <cellStyle name="t_marlswat_Comparativo VP FIN v1_So 2008" xfId="9113"/>
    <cellStyle name="t_marlswat_Comparativo VP FIN v1_So 2008 2" xfId="9114"/>
    <cellStyle name="t_marlswat_Comparativo VP MKT 2008 v1_So 2008" xfId="9115"/>
    <cellStyle name="t_marlswat_Comparativo VP MKT 2008 v1_So 2008 2" xfId="9116"/>
    <cellStyle name="t_marlswat_Comparativo VP TEC 2008 v1_So 2008" xfId="9117"/>
    <cellStyle name="t_marlswat_Comparativo VP TEC 2008 v1_So 2008 2" xfId="9118"/>
    <cellStyle name="t_marlswat_Comparativo VP TEC 2008_Luiz Sergio" xfId="9119"/>
    <cellStyle name="t_marlswat_Comparativo VP TEC 2008_Luiz Sergio 2" xfId="9120"/>
    <cellStyle name="t_marlswat_Cópia de Cópia de GOL Financial Model - Caroline - 10" xfId="5726"/>
    <cellStyle name="t_marlswat_Cópia de Cópia de GOL Financial Model - Caroline - 10 2" xfId="9121"/>
    <cellStyle name="t_marlswat_Cópia de Cópia de GOL Financial Model - Caroline - 10_Comparativo VP FIN v1_So 2008" xfId="9122"/>
    <cellStyle name="t_marlswat_Cópia de Cópia de GOL Financial Model - Caroline - 10_Comparativo VP FIN v1_So 2008 2" xfId="9123"/>
    <cellStyle name="t_marlswat_Cópia de Cópia de GOL Financial Model - Caroline - 10_Comparativo VP MKT 2008 v1_So 2008" xfId="9124"/>
    <cellStyle name="t_marlswat_Cópia de Cópia de GOL Financial Model - Caroline - 10_Comparativo VP MKT 2008 v1_So 2008 2" xfId="9125"/>
    <cellStyle name="t_marlswat_Cópia de Cópia de GOL Financial Model - Caroline - 10_Comparativo VP TEC 2008 v1_So 2008" xfId="9126"/>
    <cellStyle name="t_marlswat_Cópia de Cópia de GOL Financial Model - Caroline - 10_Comparativo VP TEC 2008 v1_So 2008 2" xfId="9127"/>
    <cellStyle name="t_marlswat_Cópia de Cópia de GOL Financial Model - Caroline - 10_Comparativo VP TEC 2008_Luiz Sergio" xfId="9128"/>
    <cellStyle name="t_marlswat_Cópia de Cópia de GOL Financial Model - Caroline - 10_Comparativo VP TEC 2008_Luiz Sergio 2" xfId="9129"/>
    <cellStyle name="t_marlswat_Cópia de Cópia de GOL Financial Model - Caroline - 10_Cópia de Modelo - Fluxo de Caixa Orcamento 09052009_V36_3" xfId="5727"/>
    <cellStyle name="t_marlswat_Cópia de Cópia de GOL Financial Model - Caroline - 10_Fluxo de Caixa Orcamento FINAL_13052009" xfId="5728"/>
    <cellStyle name="t_marlswat_Cópia de Cópia de GOL Financial Model - Caroline - 10_FM_dummyV4" xfId="5729"/>
    <cellStyle name="t_marlswat_Cópia de Cópia de GOL Financial Model - Caroline - 10_lalur" xfId="5730"/>
    <cellStyle name="t_marlswat_Cópia de Cópia de GOL Financial Model - Caroline - 10_Leasing_V3" xfId="5731"/>
    <cellStyle name="t_marlswat_Cópia de Cópia de GOL Financial Model - Caroline - 10_MODELO PDP III" xfId="5732"/>
    <cellStyle name="t_marlswat_Cópia de Cópia de GOL Financial Model - Caroline - 10_ORÇ_2009" xfId="5733"/>
    <cellStyle name="t_marlswat_Cópia de Cópia de GOL Financial Model - Caroline - 10_Pasta2" xfId="5734"/>
    <cellStyle name="t_marlswat_Cópia de GOL Financial Model - Caroline - 11" xfId="5735"/>
    <cellStyle name="t_marlswat_Cópia de GOL Financial Model - Caroline - 11 2" xfId="9130"/>
    <cellStyle name="t_marlswat_Cópia de GOL Financial Model - Caroline - 11_Comparativo VP FIN v1_So 2008" xfId="9131"/>
    <cellStyle name="t_marlswat_Cópia de GOL Financial Model - Caroline - 11_Comparativo VP FIN v1_So 2008 2" xfId="9132"/>
    <cellStyle name="t_marlswat_Cópia de GOL Financial Model - Caroline - 11_Comparativo VP MKT 2008 v1_So 2008" xfId="9133"/>
    <cellStyle name="t_marlswat_Cópia de GOL Financial Model - Caroline - 11_Comparativo VP MKT 2008 v1_So 2008 2" xfId="9134"/>
    <cellStyle name="t_marlswat_Cópia de GOL Financial Model - Caroline - 11_Comparativo VP TEC 2008 v1_So 2008" xfId="9135"/>
    <cellStyle name="t_marlswat_Cópia de GOL Financial Model - Caroline - 11_Comparativo VP TEC 2008 v1_So 2008 2" xfId="9136"/>
    <cellStyle name="t_marlswat_Cópia de GOL Financial Model - Caroline - 11_Comparativo VP TEC 2008_Luiz Sergio" xfId="9137"/>
    <cellStyle name="t_marlswat_Cópia de GOL Financial Model - Caroline - 11_Comparativo VP TEC 2008_Luiz Sergio 2" xfId="9138"/>
    <cellStyle name="t_marlswat_Cópia de GOL Financial Model - Caroline - 11_Cópia de Modelo - Fluxo de Caixa Orcamento 09052009_V36_3" xfId="5736"/>
    <cellStyle name="t_marlswat_Cópia de GOL Financial Model - Caroline - 11_Fluxo de Caixa Orcamento FINAL_13052009" xfId="5737"/>
    <cellStyle name="t_marlswat_Cópia de GOL Financial Model - Caroline - 11_FM_dummyV4" xfId="5738"/>
    <cellStyle name="t_marlswat_Cópia de GOL Financial Model - Caroline - 11_lalur" xfId="5739"/>
    <cellStyle name="t_marlswat_Cópia de GOL Financial Model - Caroline - 11_Leasing_V3" xfId="5740"/>
    <cellStyle name="t_marlswat_Cópia de GOL Financial Model - Caroline - 11_MODELO PDP III" xfId="5741"/>
    <cellStyle name="t_marlswat_Cópia de GOL Financial Model - Caroline - 11_ORÇ_2009" xfId="5742"/>
    <cellStyle name="t_marlswat_Cópia de GOL Financial Model - Caroline - 11_Pasta2" xfId="5743"/>
    <cellStyle name="t_marlswat_Cópia de GOL Financial Model - Caroline - 12" xfId="5744"/>
    <cellStyle name="t_marlswat_Cópia de GOL Financial Model - Caroline - 12 2" xfId="9139"/>
    <cellStyle name="t_marlswat_Cópia de GOL Financial Model - Caroline - 12_Comparativo VP FIN v1_So 2008" xfId="9140"/>
    <cellStyle name="t_marlswat_Cópia de GOL Financial Model - Caroline - 12_Comparativo VP FIN v1_So 2008 2" xfId="9141"/>
    <cellStyle name="t_marlswat_Cópia de GOL Financial Model - Caroline - 12_Comparativo VP MKT 2008 v1_So 2008" xfId="9142"/>
    <cellStyle name="t_marlswat_Cópia de GOL Financial Model - Caroline - 12_Comparativo VP MKT 2008 v1_So 2008 2" xfId="9143"/>
    <cellStyle name="t_marlswat_Cópia de GOL Financial Model - Caroline - 12_Comparativo VP TEC 2008 v1_So 2008" xfId="9144"/>
    <cellStyle name="t_marlswat_Cópia de GOL Financial Model - Caroline - 12_Comparativo VP TEC 2008 v1_So 2008 2" xfId="9145"/>
    <cellStyle name="t_marlswat_Cópia de GOL Financial Model - Caroline - 12_Comparativo VP TEC 2008_Luiz Sergio" xfId="9146"/>
    <cellStyle name="t_marlswat_Cópia de GOL Financial Model - Caroline - 12_Comparativo VP TEC 2008_Luiz Sergio 2" xfId="9147"/>
    <cellStyle name="t_marlswat_Cópia de GOL Financial Model - Caroline - 12_Cópia de Modelo - Fluxo de Caixa Orcamento 09052009_V36_3" xfId="5745"/>
    <cellStyle name="t_marlswat_Cópia de GOL Financial Model - Caroline - 12_Fluxo de Caixa Orcamento FINAL_13052009" xfId="5746"/>
    <cellStyle name="t_marlswat_Cópia de GOL Financial Model - Caroline - 12_FM_dummyV4" xfId="5747"/>
    <cellStyle name="t_marlswat_Cópia de GOL Financial Model - Caroline - 12_lalur" xfId="5748"/>
    <cellStyle name="t_marlswat_Cópia de GOL Financial Model - Caroline - 12_Leasing_V3" xfId="5749"/>
    <cellStyle name="t_marlswat_Cópia de GOL Financial Model - Caroline - 12_MODELO PDP III" xfId="5750"/>
    <cellStyle name="t_marlswat_Cópia de GOL Financial Model - Caroline - 12_ORÇ_2009" xfId="5751"/>
    <cellStyle name="t_marlswat_Cópia de GOL Financial Model - Caroline - 12_Pasta2" xfId="5752"/>
    <cellStyle name="t_marlswat_Cópia de GOL Financial Model - Caroline - 13" xfId="5753"/>
    <cellStyle name="t_marlswat_Cópia de GOL Financial Model - Caroline - 13 2" xfId="9148"/>
    <cellStyle name="t_marlswat_Cópia de GOL Financial Model - Caroline - 13_Comparativo VP FIN v1_So 2008" xfId="9149"/>
    <cellStyle name="t_marlswat_Cópia de GOL Financial Model - Caroline - 13_Comparativo VP FIN v1_So 2008 2" xfId="9150"/>
    <cellStyle name="t_marlswat_Cópia de GOL Financial Model - Caroline - 13_Comparativo VP MKT 2008 v1_So 2008" xfId="9151"/>
    <cellStyle name="t_marlswat_Cópia de GOL Financial Model - Caroline - 13_Comparativo VP MKT 2008 v1_So 2008 2" xfId="9152"/>
    <cellStyle name="t_marlswat_Cópia de GOL Financial Model - Caroline - 13_Comparativo VP TEC 2008 v1_So 2008" xfId="9153"/>
    <cellStyle name="t_marlswat_Cópia de GOL Financial Model - Caroline - 13_Comparativo VP TEC 2008 v1_So 2008 2" xfId="9154"/>
    <cellStyle name="t_marlswat_Cópia de GOL Financial Model - Caroline - 13_Comparativo VP TEC 2008_Luiz Sergio" xfId="9155"/>
    <cellStyle name="t_marlswat_Cópia de GOL Financial Model - Caroline - 13_Comparativo VP TEC 2008_Luiz Sergio 2" xfId="9156"/>
    <cellStyle name="t_marlswat_Cópia de GOL Financial Model - Caroline - 13_Cópia de Modelo - Fluxo de Caixa Orcamento 09052009_V36_3" xfId="5754"/>
    <cellStyle name="t_marlswat_Cópia de GOL Financial Model - Caroline - 13_Fluxo de Caixa Orcamento FINAL_13052009" xfId="5755"/>
    <cellStyle name="t_marlswat_Cópia de GOL Financial Model - Caroline - 13_FM_dummyV4" xfId="5756"/>
    <cellStyle name="t_marlswat_Cópia de GOL Financial Model - Caroline - 13_lalur" xfId="5757"/>
    <cellStyle name="t_marlswat_Cópia de GOL Financial Model - Caroline - 13_Leasing_V3" xfId="5758"/>
    <cellStyle name="t_marlswat_Cópia de GOL Financial Model - Caroline - 13_MODELO PDP III" xfId="5759"/>
    <cellStyle name="t_marlswat_Cópia de GOL Financial Model - Caroline - 13_ORÇ_2009" xfId="5760"/>
    <cellStyle name="t_marlswat_Cópia de GOL Financial Model - Caroline - 13_Pasta2" xfId="5761"/>
    <cellStyle name="t_marlswat_Cópia de Modelo - Fluxo de Caixa Orcamento 09052009_V36_3" xfId="5762"/>
    <cellStyle name="t_marlswat_Financial Model - Caroline - 15-7_Budget" xfId="5763"/>
    <cellStyle name="t_marlswat_Financial Model - Caroline - 15-7_Budget_FM_dummyV4" xfId="5764"/>
    <cellStyle name="t_marlswat_Financial Model - Caroline - 15-7_Budget_Leasing_V3" xfId="5765"/>
    <cellStyle name="t_marlswat_Financial Model - Caroline - 15-7_Budget_MODELO PDP III" xfId="5766"/>
    <cellStyle name="t_marlswat_Financial Model - Caroline - 15-7_Budget_ORÇ_2009" xfId="5767"/>
    <cellStyle name="t_marlswat_Financial Model_Budget2005_V6_orig" xfId="5768"/>
    <cellStyle name="t_marlswat_Financial Model_Budget2005_V6_orig_FM_dummyV4" xfId="5769"/>
    <cellStyle name="t_marlswat_Financial Model_Budget2005_V6_orig_Leasing_V3" xfId="5770"/>
    <cellStyle name="t_marlswat_Financial Model_Budget2005_V6_orig_MODELO PDP III" xfId="5771"/>
    <cellStyle name="t_marlswat_Financial Model_Budget2005_V6_orig_ORÇ_2009" xfId="5772"/>
    <cellStyle name="t_marlswat_Fluxo de Caixa Orcamento FINAL_13052009" xfId="5773"/>
    <cellStyle name="t_marlswat_FM_dummyV4" xfId="5774"/>
    <cellStyle name="t_marlswat_GOL Financial Model" xfId="5775"/>
    <cellStyle name="t_marlswat_GOL Financial Model - Bank Case NOV08 GECAS" xfId="5776"/>
    <cellStyle name="t_marlswat_GOL Financial Model - Bank Case NOV08 GECAS_FM_dummyV4" xfId="5777"/>
    <cellStyle name="t_marlswat_GOL Financial Model - Bank Case NOV08 GECAS_Leasing_V3" xfId="5778"/>
    <cellStyle name="t_marlswat_GOL Financial Model - Bank Case NOV08 GECAS_MODELO PDP III" xfId="5779"/>
    <cellStyle name="t_marlswat_GOL Financial Model (monthly-2007)" xfId="5780"/>
    <cellStyle name="t_marlswat_GOL Financial Model (monthly-2007)_FM_dummyV4" xfId="5781"/>
    <cellStyle name="t_marlswat_GOL Financial Model (monthly-2007)_Leasing_V3" xfId="5782"/>
    <cellStyle name="t_marlswat_GOL Financial Model (monthly-2007)_MODELO PDP III" xfId="5783"/>
    <cellStyle name="t_marlswat_GOL Financial Model (monthly-2007)_ORÇ_2009" xfId="5784"/>
    <cellStyle name="t_marlswat_GOL Financial Model Budget" xfId="5785"/>
    <cellStyle name="t_marlswat_GOL Financial Model Budget v3A" xfId="5786"/>
    <cellStyle name="t_marlswat_GOL Financial Model Budget v3A (temp)" xfId="5787"/>
    <cellStyle name="t_marlswat_GOL Financial Model Budget v3A (temp)_FM_dummyV4" xfId="5788"/>
    <cellStyle name="t_marlswat_GOL Financial Model Budget v3A (temp)_Leasing_V3" xfId="5789"/>
    <cellStyle name="t_marlswat_GOL Financial Model Budget v3A (temp)_MODELO PDP III" xfId="5790"/>
    <cellStyle name="t_marlswat_GOL Financial Model Budget v3A (temp)_ORÇ_2009" xfId="5791"/>
    <cellStyle name="t_marlswat_GOL Financial Model Budget v3A_FM_dummyV4" xfId="5792"/>
    <cellStyle name="t_marlswat_GOL Financial Model Budget v3A_Leasing_V3" xfId="5793"/>
    <cellStyle name="t_marlswat_GOL Financial Model Budget v3A_MODELO PDP III" xfId="5794"/>
    <cellStyle name="t_marlswat_GOL Financial Model Budget v3A_ORÇ_2009" xfId="5795"/>
    <cellStyle name="t_marlswat_GOL Financial Model Budget_FM_dummyV4" xfId="5796"/>
    <cellStyle name="t_marlswat_GOL Financial Model Budget_Leasing_V3" xfId="5797"/>
    <cellStyle name="t_marlswat_GOL Financial Model Budget_MODELO PDP III" xfId="5798"/>
    <cellStyle name="t_marlswat_GOL Financial Model Budget_ORÇ_2009" xfId="5799"/>
    <cellStyle name="t_marlswat_GOL Financial Model MONTHLY 2006 v05" xfId="5800"/>
    <cellStyle name="t_marlswat_GOL Financial Model MONTHLY 2006 v05_FM_dummyV4" xfId="5801"/>
    <cellStyle name="t_marlswat_GOL Financial Model MONTHLY 2006 v05_Leasing_V3" xfId="5802"/>
    <cellStyle name="t_marlswat_GOL Financial Model MONTHLY 2006 v05_MODELO PDP III" xfId="5803"/>
    <cellStyle name="t_marlswat_GOL Financial Model MONTHLY 2006 v05_ORÇ_2009" xfId="5804"/>
    <cellStyle name="t_marlswat_GOL Financial Model ORC2007 v10" xfId="5805"/>
    <cellStyle name="t_marlswat_GOL Financial Model ORC2007 v10_FM_dummyV4" xfId="5806"/>
    <cellStyle name="t_marlswat_GOL Financial Model ORC2007 v10_Leasing_V3" xfId="5807"/>
    <cellStyle name="t_marlswat_GOL Financial Model ORC2007 v10_MODELO PDP III" xfId="5808"/>
    <cellStyle name="t_marlswat_GOL Financial Model ORC2007 v10_ORÇ_2009" xfId="5809"/>
    <cellStyle name="t_marlswat_GOL Financial Model ORC2007 v11" xfId="5810"/>
    <cellStyle name="t_marlswat_GOL Financial Model ORC2007 v11_FM_dummyV4" xfId="5811"/>
    <cellStyle name="t_marlswat_GOL Financial Model ORC2007 v11_Leasing_V3" xfId="5812"/>
    <cellStyle name="t_marlswat_GOL Financial Model ORC2007 v11_MODELO PDP III" xfId="5813"/>
    <cellStyle name="t_marlswat_GOL Financial Model ORC2007 v11_ORÇ_2009" xfId="5814"/>
    <cellStyle name="t_marlswat_GOL Financial Model ORC2007 v16" xfId="5815"/>
    <cellStyle name="t_marlswat_GOL Financial Model ORC2007 v16_FM_dummyV4" xfId="5816"/>
    <cellStyle name="t_marlswat_GOL Financial Model ORC2007 v16_Leasing_V3" xfId="5817"/>
    <cellStyle name="t_marlswat_GOL Financial Model ORC2007 v16_MODELO PDP III" xfId="5818"/>
    <cellStyle name="t_marlswat_GOL Financial Model ORC2007 v16_ORÇ_2009" xfId="5819"/>
    <cellStyle name="t_marlswat_GOL Financial Model_FM_dummyV4" xfId="5820"/>
    <cellStyle name="t_marlswat_GOL Financial Model_Leasing_V3" xfId="5821"/>
    <cellStyle name="t_marlswat_GOL Financial Model_MODELO PDP III" xfId="5822"/>
    <cellStyle name="t_marlswat_GOL Financial Model_ORÇ_2009" xfId="5823"/>
    <cellStyle name="t_marlswat_GOL Financial Model_ORC2008 v11" xfId="5824"/>
    <cellStyle name="t_marlswat_GOL Financial Model_ORC2008 v11_FM_dummyV4" xfId="5825"/>
    <cellStyle name="t_marlswat_GOL Financial Model_ORC2008 v11_Leasing_V3" xfId="5826"/>
    <cellStyle name="t_marlswat_GOL Financial Model_ORC2008 v11_MODELO PDP III" xfId="5827"/>
    <cellStyle name="t_marlswat_GOL Financial Model_ORC2008 v11_ORÇ_2009" xfId="5828"/>
    <cellStyle name="t_marlswat_GOL Financial Model_ORC2008 v17" xfId="5829"/>
    <cellStyle name="t_marlswat_GOL Financial Model_ORC2008 v17_FM_dummyV4" xfId="5830"/>
    <cellStyle name="t_marlswat_GOL Financial Model_ORC2008 v17_Leasing_V3" xfId="5831"/>
    <cellStyle name="t_marlswat_GOL Financial Model_ORC2008 v17_MODELO PDP III" xfId="5832"/>
    <cellStyle name="t_marlswat_GOL Financial Model_ORC2008 v17_ORÇ_2009" xfId="5833"/>
    <cellStyle name="t_marlswat_GOL Financial Model_ORC2008 v26.1" xfId="5834"/>
    <cellStyle name="t_marlswat_GOL Financial Model_ORC2008 v26.1_FM_dummyV4" xfId="5835"/>
    <cellStyle name="t_marlswat_GOL Financial Model_ORC2008 v26.1_Leasing_V3" xfId="5836"/>
    <cellStyle name="t_marlswat_GOL Financial Model_ORC2008 v26.1_MODELO PDP III" xfId="5837"/>
    <cellStyle name="t_marlswat_GOL Financial Model_ORC2008 v26.1_ORÇ_2009" xfId="5838"/>
    <cellStyle name="t_marlswat_GOL Financial Model_ORC2008 v6" xfId="5839"/>
    <cellStyle name="t_marlswat_GOL Financial Model_ORC2008 v6_FM_dummyV4" xfId="5840"/>
    <cellStyle name="t_marlswat_GOL Financial Model_ORC2008 v6_Leasing_V3" xfId="5841"/>
    <cellStyle name="t_marlswat_GOL Financial Model_ORC2008 v6_MODELO PDP III" xfId="5842"/>
    <cellStyle name="t_marlswat_GOL Financial Model_ORC2008 v6_ORÇ_2009" xfId="5843"/>
    <cellStyle name="t_marlswat_GOL Financial Model_ORC2009V10" xfId="5844"/>
    <cellStyle name="t_marlswat_GOL Financial Model_ORC2009V10_FM_dummyV4" xfId="5845"/>
    <cellStyle name="t_marlswat_GOL Financial Model_ORC2009V10_Leasing_V3" xfId="5846"/>
    <cellStyle name="t_marlswat_GOL Financial Model_ORC2009V10_MODELO PDP III" xfId="5847"/>
    <cellStyle name="t_marlswat_GOL Financial Model_ORC2009V10_ORÇ_2009" xfId="5848"/>
    <cellStyle name="t_marlswat_GOL Financial Model_ORC2009V2" xfId="5849"/>
    <cellStyle name="t_marlswat_GOL Financial Model_ORC2009V2_FM_dummyV4" xfId="5850"/>
    <cellStyle name="t_marlswat_GOL Financial Model_ORC2009V2_Leasing_V3" xfId="5851"/>
    <cellStyle name="t_marlswat_GOL Financial Model_ORC2009V2_MODELO PDP III" xfId="5852"/>
    <cellStyle name="t_marlswat_GOL Financial Model_ORC2009V2_ORÇ_2009" xfId="5853"/>
    <cellStyle name="t_marlswat_GOL Financial Model_ORC2009V27" xfId="5854"/>
    <cellStyle name="t_marlswat_GOL Financial Model_ORC2009V27_ORÇ_2009" xfId="5855"/>
    <cellStyle name="t_marlswat_GOL Financial Model_ORC2009V3" xfId="5856"/>
    <cellStyle name="t_marlswat_GOL Financial Model_ORC2009V3_FM_dummyV4" xfId="5857"/>
    <cellStyle name="t_marlswat_GOL Financial Model_ORC2009V3_Leasing_V3" xfId="5858"/>
    <cellStyle name="t_marlswat_GOL Financial Model_ORC2009V3_MODELO PDP III" xfId="5859"/>
    <cellStyle name="t_marlswat_GOL Financial Model_ORC2009V3_ORÇ_2009" xfId="5860"/>
    <cellStyle name="t_marlswat_GOL Financial Model_ORC2009V5" xfId="5861"/>
    <cellStyle name="t_marlswat_GOL Financial Model_ORC2009V5_FM_dummyV4" xfId="5862"/>
    <cellStyle name="t_marlswat_GOL Financial Model_ORC2009V5_Leasing_V3" xfId="5863"/>
    <cellStyle name="t_marlswat_GOL Financial Model_ORC2009V5_MODELO PDP III" xfId="5864"/>
    <cellStyle name="t_marlswat_GOL Financial Model_ORC2009V5_ORÇ_2009" xfId="5865"/>
    <cellStyle name="t_marlswat_GOL Financial Model_ORC2009V6" xfId="5866"/>
    <cellStyle name="t_marlswat_GOL Financial Model_ORC2009V6_FM_dummyV4" xfId="5867"/>
    <cellStyle name="t_marlswat_GOL Financial Model_ORC2009V6_Leasing_V3" xfId="5868"/>
    <cellStyle name="t_marlswat_GOL Financial Model_ORC2009V6_MODELO PDP III" xfId="5869"/>
    <cellStyle name="t_marlswat_GOL Financial Model_ORC2009V6_ORÇ_2009" xfId="5870"/>
    <cellStyle name="t_marlswat_GOL Financial Model_ORC2009V8_taxes" xfId="5871"/>
    <cellStyle name="t_marlswat_GOL Financial Model_ORC2009V8_taxes_FM_dummyV4" xfId="5872"/>
    <cellStyle name="t_marlswat_GOL Financial Model_ORC2009V8_taxes_Leasing_V3" xfId="5873"/>
    <cellStyle name="t_marlswat_GOL Financial Model_ORC2009V8_taxes_MODELO PDP III" xfId="5874"/>
    <cellStyle name="t_marlswat_GOL Financial Model_ORC2009V8_taxes_ORÇ_2009" xfId="5875"/>
    <cellStyle name="t_marlswat_GOL Financial Model_update" xfId="5876"/>
    <cellStyle name="t_marlswat_GOL Financial Model_update_FM_dummyV4" xfId="5877"/>
    <cellStyle name="t_marlswat_GOL Financial Model_update_Leasing_V3" xfId="5878"/>
    <cellStyle name="t_marlswat_GOL Financial Model_update_MODELO PDP III" xfId="5879"/>
    <cellStyle name="t_marlswat_GOL Financial Model_update_ORÇ_2009" xfId="5880"/>
    <cellStyle name="t_marlswat_GOL Financial ModelPROJ2008" xfId="5881"/>
    <cellStyle name="t_marlswat_GOL Financial ModelPROJ2008_FM_dummyV4" xfId="5882"/>
    <cellStyle name="t_marlswat_GOL Financial ModelPROJ2008_Leasing_V3" xfId="5883"/>
    <cellStyle name="t_marlswat_GOL Financial ModelPROJ2008_MODELO PDP III" xfId="5884"/>
    <cellStyle name="t_marlswat_GOL Financial ModelPROJ2008_ORÇ_2009" xfId="5885"/>
    <cellStyle name="t_marlswat_GOL Financial ModelPROJ2008_taxes" xfId="5886"/>
    <cellStyle name="t_marlswat_GOL Financial ModelPROJ2008_taxes_FM_dummyV4" xfId="5887"/>
    <cellStyle name="t_marlswat_GOL Financial ModelPROJ2008_taxes_Leasing_V3" xfId="5888"/>
    <cellStyle name="t_marlswat_GOL Financial ModelPROJ2008_taxes_MODELO PDP III" xfId="5889"/>
    <cellStyle name="t_marlswat_GOL Financial ModelPROJ2008_taxes_ORÇ_2009" xfId="5890"/>
    <cellStyle name="t_marlswat_GOL Financial ModelPROJ2008V5" xfId="5891"/>
    <cellStyle name="t_marlswat_GOL Financial ModelPROJ2008V5_FM_dummyV4" xfId="5892"/>
    <cellStyle name="t_marlswat_GOL Financial ModelPROJ2008V5_Leasing_V3" xfId="5893"/>
    <cellStyle name="t_marlswat_GOL Financial ModelPROJ2008V5_MODELO PDP III" xfId="5894"/>
    <cellStyle name="t_marlswat_GOL Financial ModelPROJ2008V5_ORÇ_2009" xfId="5895"/>
    <cellStyle name="t_marlswat_lalur" xfId="5896"/>
    <cellStyle name="t_marlswat_Leasing_V3" xfId="5897"/>
    <cellStyle name="t_marlswat_Model Back-up (10SEP)" xfId="5898"/>
    <cellStyle name="t_marlswat_Model Back-up (10SEP)_FM_dummyV4" xfId="5899"/>
    <cellStyle name="t_marlswat_Model Back-up (10SEP)_Leasing_V3" xfId="5900"/>
    <cellStyle name="t_marlswat_Model Back-up (10SEP)_MODELO PDP III" xfId="5901"/>
    <cellStyle name="t_marlswat_Model Back-up (10SEP)_ORÇ_2009" xfId="5902"/>
    <cellStyle name="t_marlswat_MODELO PDP III" xfId="5903"/>
    <cellStyle name="t_marlswat_Operating Statistics 2001_02_03_04 - ok IPO" xfId="5904"/>
    <cellStyle name="t_marlswat_Operating Statistics 2001_02_03_04 - ok IPO 2" xfId="9157"/>
    <cellStyle name="t_marlswat_Operating Statistics 2001_02_03_04 - ok IPO_Comparativo VP FIN v1_So 2008" xfId="9158"/>
    <cellStyle name="t_marlswat_Operating Statistics 2001_02_03_04 - ok IPO_Comparativo VP FIN v1_So 2008 2" xfId="9159"/>
    <cellStyle name="t_marlswat_Operating Statistics 2001_02_03_04 - ok IPO_Comparativo VP MKT 2008 v1_So 2008" xfId="9160"/>
    <cellStyle name="t_marlswat_Operating Statistics 2001_02_03_04 - ok IPO_Comparativo VP MKT 2008 v1_So 2008 2" xfId="9161"/>
    <cellStyle name="t_marlswat_Operating Statistics 2001_02_03_04 - ok IPO_Comparativo VP TEC 2008 v1_So 2008" xfId="9162"/>
    <cellStyle name="t_marlswat_Operating Statistics 2001_02_03_04 - ok IPO_Comparativo VP TEC 2008 v1_So 2008 2" xfId="9163"/>
    <cellStyle name="t_marlswat_Operating Statistics 2001_02_03_04 - ok IPO_Comparativo VP TEC 2008_Luiz Sergio" xfId="9164"/>
    <cellStyle name="t_marlswat_Operating Statistics 2001_02_03_04 - ok IPO_Comparativo VP TEC 2008_Luiz Sergio 2" xfId="9165"/>
    <cellStyle name="t_marlswat_Operating Statistics 2001_02_03_04 - ok IPO_Cópia de Modelo - Fluxo de Caixa Orcamento 09052009_V36_3" xfId="5905"/>
    <cellStyle name="t_marlswat_Operating Statistics 2001_02_03_04 - ok IPO_Fluxo de Caixa Orcamento FINAL_13052009" xfId="5906"/>
    <cellStyle name="t_marlswat_Operating Statistics 2001_02_03_04 - ok IPO_FM_dummyV4" xfId="5907"/>
    <cellStyle name="t_marlswat_Operating Statistics 2001_02_03_04 - ok IPO_lalur" xfId="5908"/>
    <cellStyle name="t_marlswat_Operating Statistics 2001_02_03_04 - ok IPO_Leasing_V3" xfId="5909"/>
    <cellStyle name="t_marlswat_Operating Statistics 2001_02_03_04 - ok IPO_MODELO PDP III" xfId="5910"/>
    <cellStyle name="t_marlswat_Operating Statistics 2001_02_03_04 - ok IPO_ORÇ_2009" xfId="5911"/>
    <cellStyle name="t_marlswat_Operating Statistics 2001_02_03_04 - ok IPO_Pasta2" xfId="5912"/>
    <cellStyle name="t_marlswat_ORÇ_2009" xfId="5913"/>
    <cellStyle name="t_marlswat_Pasta1" xfId="5914"/>
    <cellStyle name="t_marlswat_Pasta1_FM_dummyV4" xfId="5915"/>
    <cellStyle name="t_marlswat_Pasta1_Leasing_V3" xfId="5916"/>
    <cellStyle name="t_marlswat_Pasta1_MODELO PDP III" xfId="5917"/>
    <cellStyle name="t_marlswat_Pasta1_ORÇ_2009" xfId="5918"/>
    <cellStyle name="t_marlswat_Pasta2" xfId="5919"/>
    <cellStyle name="t_marlswat_Q2 pipeline" xfId="5920"/>
    <cellStyle name="t_marlswat_Q2 pipeline 2" xfId="9166"/>
    <cellStyle name="t_marlswat_Q2 pipeline_Cópia de Modelo - Fluxo de Caixa Orcamento 09052009_V36_3" xfId="5921"/>
    <cellStyle name="t_marlswat_Q2 pipeline_Cópia de Modelo - Fluxo de Caixa Orcamento 09052009_V36_3 2" xfId="9167"/>
    <cellStyle name="t_marlswat_Q2 pipeline_Fluxo de Caixa Orcamento FINAL_13052009" xfId="5922"/>
    <cellStyle name="t_marlswat_Q2 pipeline_Fluxo de Caixa Orcamento FINAL_13052009 2" xfId="9168"/>
    <cellStyle name="t_marlswat_Q2 pipeline_FM_dummyV4" xfId="5923"/>
    <cellStyle name="t_marlswat_Q2 pipeline_lalur" xfId="5924"/>
    <cellStyle name="t_marlswat_Q2 pipeline_Leasing_V3" xfId="5925"/>
    <cellStyle name="t_marlswat_Q2 pipeline_MODELO PDP III" xfId="5926"/>
    <cellStyle name="t_marlswat_Q2 pipeline_ORÇ_2009" xfId="5927"/>
    <cellStyle name="t_marlswat_Q2 pipeline_ORÇ_2009 2" xfId="9169"/>
    <cellStyle name="t_marlswat_Q2 pipeline_Pasta2" xfId="5928"/>
    <cellStyle name="t_marlswat_Q2 pipeline_Pasta2 2" xfId="9170"/>
    <cellStyle name="t_ML_C34.XLS Chart 2" xfId="5929"/>
    <cellStyle name="t_ML_C34.XLS Chart 2 2" xfId="9171"/>
    <cellStyle name="t_ML_C34.XLS Chart 2_Comparativo VP FIN v1_So 2008" xfId="9172"/>
    <cellStyle name="t_ML_C34.XLS Chart 2_Comparativo VP FIN v1_So 2008 2" xfId="9173"/>
    <cellStyle name="t_ML_C34.XLS Chart 2_Comparativo VP MKT 2008 v1_So 2008" xfId="9174"/>
    <cellStyle name="t_ML_C34.XLS Chart 2_Comparativo VP MKT 2008 v1_So 2008 2" xfId="9175"/>
    <cellStyle name="t_ML_C34.XLS Chart 2_Comparativo VP TEC 2008 v1_So 2008" xfId="9176"/>
    <cellStyle name="t_ML_C34.XLS Chart 2_Comparativo VP TEC 2008 v1_So 2008 2" xfId="9177"/>
    <cellStyle name="t_ML_C34.XLS Chart 2_Comparativo VP TEC 2008_Luiz Sergio" xfId="9178"/>
    <cellStyle name="t_ML_C34.XLS Chart 2_Comparativo VP TEC 2008_Luiz Sergio 2" xfId="9179"/>
    <cellStyle name="t_ML_C34.XLS Chart 2_Cópia de Modelo - Fluxo de Caixa Orcamento 09052009_V36_3" xfId="5930"/>
    <cellStyle name="t_ML_C34.XLS Chart 2_Fluxo de Caixa Orcamento FINAL_13052009" xfId="5931"/>
    <cellStyle name="t_ML_C34.XLS Chart 2_FM_dummyV4" xfId="5932"/>
    <cellStyle name="t_ML_C34.XLS Chart 2_lalur" xfId="5933"/>
    <cellStyle name="t_ML_C34.XLS Chart 2_Leasing_V3" xfId="5934"/>
    <cellStyle name="t_ML_C34.XLS Chart 2_MODELO PDP III" xfId="5935"/>
    <cellStyle name="t_ML_C34.XLS Chart 2_ORÇ_2009" xfId="5936"/>
    <cellStyle name="t_ML_C34.XLS Chart 2_Pasta2" xfId="5937"/>
    <cellStyle name="t_ML_C34.XLS Chart 2_Q2 pipeline" xfId="5938"/>
    <cellStyle name="t_ML_C34.XLS Chart 2_Q2 pipeline 2" xfId="9180"/>
    <cellStyle name="t_ML_C34.XLS Chart 2_Q2 pipeline_Cópia de Modelo - Fluxo de Caixa Orcamento 09052009_V36_3" xfId="5939"/>
    <cellStyle name="t_ML_C34.XLS Chart 2_Q2 pipeline_Cópia de Modelo - Fluxo de Caixa Orcamento 09052009_V36_3 2" xfId="9181"/>
    <cellStyle name="t_ML_C34.XLS Chart 2_Q2 pipeline_Fluxo de Caixa Orcamento FINAL_13052009" xfId="5940"/>
    <cellStyle name="t_ML_C34.XLS Chart 2_Q2 pipeline_Fluxo de Caixa Orcamento FINAL_13052009 2" xfId="9182"/>
    <cellStyle name="t_ML_C34.XLS Chart 2_Q2 pipeline_FM_dummyV4" xfId="5941"/>
    <cellStyle name="t_ML_C34.XLS Chart 2_Q2 pipeline_lalur" xfId="5942"/>
    <cellStyle name="t_ML_C34.XLS Chart 2_Q2 pipeline_Leasing_V3" xfId="5943"/>
    <cellStyle name="t_ML_C34.XLS Chart 2_Q2 pipeline_MODELO PDP III" xfId="5944"/>
    <cellStyle name="t_ML_C34.XLS Chart 2_Q2 pipeline_ORÇ_2009" xfId="5945"/>
    <cellStyle name="t_ML_C34.XLS Chart 2_Q2 pipeline_ORÇ_2009 2" xfId="9183"/>
    <cellStyle name="t_ML_C34.XLS Chart 2_Q2 pipeline_Pasta2" xfId="5946"/>
    <cellStyle name="t_ML_C34.XLS Chart 2_Q2 pipeline_Pasta2 2" xfId="9184"/>
    <cellStyle name="t_MODELO PDP III" xfId="5947"/>
    <cellStyle name="t_NewOrl_cons" xfId="5948"/>
    <cellStyle name="t_NewOrl_cons_Comparativo VP FIN v1_So 2008" xfId="9185"/>
    <cellStyle name="t_NewOrl_cons_Comparativo VP MKT 2008 v1_So 2008" xfId="9186"/>
    <cellStyle name="t_NewOrl_cons_Comparativo VP TEC 2008 v1_So 2008" xfId="9187"/>
    <cellStyle name="t_NewOrl_cons_Comparativo VP TEC 2008_Luiz Sergio" xfId="9188"/>
    <cellStyle name="t_NewOrl_cons_Cópia de Modelo - Fluxo de Caixa Orcamento 09052009_V36_3" xfId="5949"/>
    <cellStyle name="t_NewOrl_cons_Fluxo de Caixa Orcamento FINAL_13052009" xfId="5950"/>
    <cellStyle name="t_NewOrl_cons_FM_dummyV4" xfId="5951"/>
    <cellStyle name="t_NewOrl_cons_lalur" xfId="5952"/>
    <cellStyle name="t_NewOrl_cons_Leasing_V3" xfId="5953"/>
    <cellStyle name="t_NewOrl_cons_MODELO PDP III" xfId="5954"/>
    <cellStyle name="t_NewOrl_cons_ORÇ_2009" xfId="5955"/>
    <cellStyle name="t_NewOrl_cons_Pasta2" xfId="5956"/>
    <cellStyle name="t_NewOrl_cons_Q2 pipeline" xfId="5957"/>
    <cellStyle name="t_NewOrl_cons_Q2 pipeline 2" xfId="9189"/>
    <cellStyle name="t_NewOrl_cons_Q2 pipeline_Cópia de Modelo - Fluxo de Caixa Orcamento 09052009_V36_3" xfId="5958"/>
    <cellStyle name="t_NewOrl_cons_Q2 pipeline_Cópia de Modelo - Fluxo de Caixa Orcamento 09052009_V36_3 2" xfId="9190"/>
    <cellStyle name="t_NewOrl_cons_Q2 pipeline_Fluxo de Caixa Orcamento FINAL_13052009" xfId="5959"/>
    <cellStyle name="t_NewOrl_cons_Q2 pipeline_Fluxo de Caixa Orcamento FINAL_13052009 2" xfId="9191"/>
    <cellStyle name="t_NewOrl_cons_Q2 pipeline_FM_dummyV4" xfId="5960"/>
    <cellStyle name="t_NewOrl_cons_Q2 pipeline_lalur" xfId="5961"/>
    <cellStyle name="t_NewOrl_cons_Q2 pipeline_Leasing_V3" xfId="5962"/>
    <cellStyle name="t_NewOrl_cons_Q2 pipeline_MODELO PDP III" xfId="5963"/>
    <cellStyle name="t_NewOrl_cons_Q2 pipeline_ORÇ_2009" xfId="5964"/>
    <cellStyle name="t_NewOrl_cons_Q2 pipeline_ORÇ_2009 2" xfId="9192"/>
    <cellStyle name="t_NewOrl_cons_Q2 pipeline_Pasta2" xfId="5965"/>
    <cellStyle name="t_NewOrl_cons_Q2 pipeline_Pasta2 2" xfId="9193"/>
    <cellStyle name="t_ORÇ_2009" xfId="5966"/>
    <cellStyle name="t_Pasta2" xfId="5967"/>
    <cellStyle name="t_Q2 pipeline" xfId="5968"/>
    <cellStyle name="t_Q2 pipeline 2" xfId="9194"/>
    <cellStyle name="t_Q2 pipeline_Cópia de Modelo - Fluxo de Caixa Orcamento 09052009_V36_3" xfId="5969"/>
    <cellStyle name="t_Q2 pipeline_Cópia de Modelo - Fluxo de Caixa Orcamento 09052009_V36_3 2" xfId="9195"/>
    <cellStyle name="t_Q2 pipeline_Fluxo de Caixa Orcamento FINAL_13052009" xfId="5970"/>
    <cellStyle name="t_Q2 pipeline_Fluxo de Caixa Orcamento FINAL_13052009 2" xfId="9196"/>
    <cellStyle name="t_Q2 pipeline_FM_dummyV4" xfId="5971"/>
    <cellStyle name="t_Q2 pipeline_lalur" xfId="5972"/>
    <cellStyle name="t_Q2 pipeline_Leasing_V3" xfId="5973"/>
    <cellStyle name="t_Q2 pipeline_MODELO PDP III" xfId="5974"/>
    <cellStyle name="t_Q2 pipeline_ORÇ_2009" xfId="5975"/>
    <cellStyle name="t_Q2 pipeline_ORÇ_2009 2" xfId="9197"/>
    <cellStyle name="t_Q2 pipeline_Pasta2" xfId="5976"/>
    <cellStyle name="t_Q2 pipeline_Pasta2 2" xfId="9198"/>
    <cellStyle name="t_Valuation" xfId="5977"/>
    <cellStyle name="t_Valuation_Comparativo VP FIN v1_So 2008" xfId="9199"/>
    <cellStyle name="t_Valuation_Comparativo VP MKT 2008 v1_So 2008" xfId="9200"/>
    <cellStyle name="t_Valuation_Comparativo VP TEC 2008 v1_So 2008" xfId="9201"/>
    <cellStyle name="t_Valuation_Comparativo VP TEC 2008_Luiz Sergio" xfId="9202"/>
    <cellStyle name="t_Valuation_Cópia de Modelo - Fluxo de Caixa Orcamento 09052009_V36_3" xfId="5978"/>
    <cellStyle name="t_Valuation_Fluxo de Caixa Orcamento FINAL_13052009" xfId="5979"/>
    <cellStyle name="t_Valuation_FM_dummyV4" xfId="5980"/>
    <cellStyle name="t_Valuation_lalur" xfId="5981"/>
    <cellStyle name="t_Valuation_Leasing_V3" xfId="5982"/>
    <cellStyle name="t_Valuation_MODELO PDP III" xfId="5983"/>
    <cellStyle name="t_Valuation_ORÇ_2009" xfId="5984"/>
    <cellStyle name="t_Valuation_Pasta2" xfId="5985"/>
    <cellStyle name="t_Valuation_Q2 pipeline" xfId="5986"/>
    <cellStyle name="t_Valuation_Q2 pipeline 2" xfId="9203"/>
    <cellStyle name="t_Valuation_Q2 pipeline_Cópia de Modelo - Fluxo de Caixa Orcamento 09052009_V36_3" xfId="5987"/>
    <cellStyle name="t_Valuation_Q2 pipeline_Cópia de Modelo - Fluxo de Caixa Orcamento 09052009_V36_3 2" xfId="9204"/>
    <cellStyle name="t_Valuation_Q2 pipeline_Fluxo de Caixa Orcamento FINAL_13052009" xfId="5988"/>
    <cellStyle name="t_Valuation_Q2 pipeline_Fluxo de Caixa Orcamento FINAL_13052009 2" xfId="9205"/>
    <cellStyle name="t_Valuation_Q2 pipeline_FM_dummyV4" xfId="5989"/>
    <cellStyle name="t_Valuation_Q2 pipeline_lalur" xfId="5990"/>
    <cellStyle name="t_Valuation_Q2 pipeline_Leasing_V3" xfId="5991"/>
    <cellStyle name="t_Valuation_Q2 pipeline_MODELO PDP III" xfId="5992"/>
    <cellStyle name="t_Valuation_Q2 pipeline_ORÇ_2009" xfId="5993"/>
    <cellStyle name="t_Valuation_Q2 pipeline_ORÇ_2009 2" xfId="9206"/>
    <cellStyle name="t_Valuation_Q2 pipeline_Pasta2" xfId="5994"/>
    <cellStyle name="t_Valuation_Q2 pipeline_Pasta2 2" xfId="9207"/>
    <cellStyle name="Table Head" xfId="5995"/>
    <cellStyle name="Table Head Aligned" xfId="5996"/>
    <cellStyle name="Table Head Blue" xfId="5997"/>
    <cellStyle name="Table Head Green" xfId="5998"/>
    <cellStyle name="Table Head_IPQ Comps" xfId="5999"/>
    <cellStyle name="Table Heading" xfId="6000"/>
    <cellStyle name="Table Text" xfId="6001"/>
    <cellStyle name="Table Title" xfId="6002"/>
    <cellStyle name="Table Units" xfId="6003"/>
    <cellStyle name="Table_Header" xfId="6004"/>
    <cellStyle name="TableBody" xfId="6005"/>
    <cellStyle name="TableBodyR" xfId="6006"/>
    <cellStyle name="TableColHeads" xfId="6007"/>
    <cellStyle name="taples Plaza" xfId="6008"/>
    <cellStyle name="taples Plaza 2" xfId="6009"/>
    <cellStyle name="tc" xfId="6010"/>
    <cellStyle name="tc 2" xfId="9208"/>
    <cellStyle name="Text" xfId="6011"/>
    <cellStyle name="Text 1" xfId="6012"/>
    <cellStyle name="Text Head 1" xfId="6013"/>
    <cellStyle name="Text Indent A" xfId="6014"/>
    <cellStyle name="Text Indent B" xfId="6015"/>
    <cellStyle name="Text Indent B 2" xfId="9209"/>
    <cellStyle name="Text Indent C" xfId="6016"/>
    <cellStyle name="Text Indent C 2" xfId="9210"/>
    <cellStyle name="textbold" xfId="6017"/>
    <cellStyle name="Texto de Aviso 2" xfId="45"/>
    <cellStyle name="Texto de Aviso 3" xfId="6238"/>
    <cellStyle name="Texto de Aviso 4" xfId="9211"/>
    <cellStyle name="Texto de Aviso 5" xfId="6254"/>
    <cellStyle name="Texto Explicativo 2" xfId="46"/>
    <cellStyle name="Texto Explicativo 3" xfId="9212"/>
    <cellStyle name="Texto Explicativo 4" xfId="9213"/>
    <cellStyle name="Texto Explicativo 5" xfId="6256"/>
    <cellStyle name="TFCF" xfId="6019"/>
    <cellStyle name="TFCF 2" xfId="6020"/>
    <cellStyle name="Tickmark" xfId="6021"/>
    <cellStyle name="time" xfId="6022"/>
    <cellStyle name="Title" xfId="6023"/>
    <cellStyle name="Title 1" xfId="6024"/>
    <cellStyle name="Title 2" xfId="6025"/>
    <cellStyle name="Title 3" xfId="6026"/>
    <cellStyle name="Title 4" xfId="6027"/>
    <cellStyle name="title2" xfId="6028"/>
    <cellStyle name="Titles" xfId="6029"/>
    <cellStyle name="Tittle" xfId="6030"/>
    <cellStyle name="Tittle 2" xfId="9214"/>
    <cellStyle name="Titulo" xfId="6031"/>
    <cellStyle name="Título" xfId="56" builtinId="15" customBuiltin="1"/>
    <cellStyle name="Título 1 2" xfId="47"/>
    <cellStyle name="Título 1 3" xfId="9215"/>
    <cellStyle name="Título 1 4" xfId="9216"/>
    <cellStyle name="Título 1 5" xfId="6242"/>
    <cellStyle name="Titulo 10" xfId="9217"/>
    <cellStyle name="Título 10" xfId="9218"/>
    <cellStyle name="Titulo 11" xfId="9219"/>
    <cellStyle name="Titulo 12" xfId="9220"/>
    <cellStyle name="Titulo 13" xfId="9221"/>
    <cellStyle name="Titulo 14" xfId="9222"/>
    <cellStyle name="Titulo 15" xfId="9223"/>
    <cellStyle name="Titulo 16" xfId="9224"/>
    <cellStyle name="Titulo 17" xfId="9225"/>
    <cellStyle name="Titulo 18" xfId="9226"/>
    <cellStyle name="Titulo 19" xfId="9227"/>
    <cellStyle name="Titulo 2" xfId="9228"/>
    <cellStyle name="Título 2 2" xfId="48"/>
    <cellStyle name="Título 2 3" xfId="9229"/>
    <cellStyle name="Título 2 4" xfId="9230"/>
    <cellStyle name="Título 2 5" xfId="6243"/>
    <cellStyle name="Titulo 20" xfId="9231"/>
    <cellStyle name="Titulo 21" xfId="9232"/>
    <cellStyle name="Titulo 22" xfId="9233"/>
    <cellStyle name="Titulo 23" xfId="9234"/>
    <cellStyle name="Titulo 24" xfId="9235"/>
    <cellStyle name="Titulo 25" xfId="9236"/>
    <cellStyle name="Titulo 26" xfId="9237"/>
    <cellStyle name="Titulo 27" xfId="9238"/>
    <cellStyle name="Titulo 28" xfId="9239"/>
    <cellStyle name="Titulo 3" xfId="9240"/>
    <cellStyle name="Título 3 2" xfId="49"/>
    <cellStyle name="Título 3 3" xfId="9241"/>
    <cellStyle name="Título 3 4" xfId="9242"/>
    <cellStyle name="Título 3 5" xfId="6244"/>
    <cellStyle name="Titulo 4" xfId="9243"/>
    <cellStyle name="Título 4 2" xfId="50"/>
    <cellStyle name="Título 4 3" xfId="9244"/>
    <cellStyle name="Título 4 4" xfId="9245"/>
    <cellStyle name="Título 4 5" xfId="6245"/>
    <cellStyle name="Titulo 5" xfId="9246"/>
    <cellStyle name="Título 5" xfId="51"/>
    <cellStyle name="Titulo 6" xfId="9247"/>
    <cellStyle name="Título 6" xfId="9248"/>
    <cellStyle name="Titulo 7" xfId="9249"/>
    <cellStyle name="Título 7" xfId="9250"/>
    <cellStyle name="Titulo 8" xfId="9251"/>
    <cellStyle name="Título 8" xfId="9252"/>
    <cellStyle name="Titulo 9" xfId="9253"/>
    <cellStyle name="Título 9" xfId="9254"/>
    <cellStyle name="Titulo de conta" xfId="6032"/>
    <cellStyle name="Titulo_Base Apresentação" xfId="9255"/>
    <cellStyle name="Título1" xfId="6033"/>
    <cellStyle name="Título2" xfId="6034"/>
    <cellStyle name="TituloJoia" xfId="6035"/>
    <cellStyle name="titulomov" xfId="6036"/>
    <cellStyle name="Titulos" xfId="6037"/>
    <cellStyle name="Titulos1" xfId="6038"/>
    <cellStyle name="TitulosP" xfId="6039"/>
    <cellStyle name="Todos" xfId="6040"/>
    <cellStyle name="Top_Double_Bottom" xfId="6041"/>
    <cellStyle name="TopGrey" xfId="6042"/>
    <cellStyle name="TopGrey 2" xfId="6043"/>
    <cellStyle name="Totais LP" xfId="6044"/>
    <cellStyle name="Total 2" xfId="52"/>
    <cellStyle name="Total 2 2" xfId="6239"/>
    <cellStyle name="Total 2 2 2" xfId="9256"/>
    <cellStyle name="Total 2 3" xfId="9257"/>
    <cellStyle name="Total 2 4" xfId="6045"/>
    <cellStyle name="Total 3" xfId="6240"/>
    <cellStyle name="Total 3 2" xfId="9258"/>
    <cellStyle name="Total 4" xfId="9259"/>
    <cellStyle name="Total 4 2" xfId="9260"/>
    <cellStyle name="Total 5" xfId="6257"/>
    <cellStyle name="Total1" xfId="6046"/>
    <cellStyle name="totalbalan" xfId="6047"/>
    <cellStyle name="ts0" xfId="6048"/>
    <cellStyle name="ts1" xfId="6049"/>
    <cellStyle name="ts2" xfId="6050"/>
    <cellStyle name="Tusental (0)_Mediaplan example2" xfId="9261"/>
    <cellStyle name="u" xfId="6051"/>
    <cellStyle name="u_Comparativo VP FIN v1_So 2008" xfId="9262"/>
    <cellStyle name="u_Comparativo VP MKT 2008 v1_So 2008" xfId="9263"/>
    <cellStyle name="u_Comparativo VP TEC 2008 v1_So 2008" xfId="9264"/>
    <cellStyle name="u_Comparativo VP TEC 2008_Luiz Sergio" xfId="9265"/>
    <cellStyle name="u_Cópia de Modelo - Fluxo de Caixa Orcamento 09052009_V36_3" xfId="6052"/>
    <cellStyle name="u_Fluxo de Caixa Orcamento FINAL_13052009" xfId="6053"/>
    <cellStyle name="u_FM_dummyV4" xfId="6054"/>
    <cellStyle name="u_lalur" xfId="6055"/>
    <cellStyle name="u_Leasing_V3" xfId="6056"/>
    <cellStyle name="u_MODELO PDP III" xfId="6057"/>
    <cellStyle name="u_ORÇ_2009" xfId="6058"/>
    <cellStyle name="u_Pasta2" xfId="6059"/>
    <cellStyle name="u_Q2 pipeline" xfId="6060"/>
    <cellStyle name="u_Q2 pipeline 2" xfId="9266"/>
    <cellStyle name="u_Q2 pipeline_Cópia de Modelo - Fluxo de Caixa Orcamento 09052009_V36_3" xfId="6061"/>
    <cellStyle name="u_Q2 pipeline_Cópia de Modelo - Fluxo de Caixa Orcamento 09052009_V36_3 2" xfId="9267"/>
    <cellStyle name="u_Q2 pipeline_Fluxo de Caixa Orcamento FINAL_13052009" xfId="6062"/>
    <cellStyle name="u_Q2 pipeline_Fluxo de Caixa Orcamento FINAL_13052009 2" xfId="9268"/>
    <cellStyle name="u_Q2 pipeline_FM_dummyV4" xfId="6063"/>
    <cellStyle name="u_Q2 pipeline_lalur" xfId="6064"/>
    <cellStyle name="u_Q2 pipeline_Leasing_V3" xfId="6065"/>
    <cellStyle name="u_Q2 pipeline_MODELO PDP III" xfId="6066"/>
    <cellStyle name="u_Q2 pipeline_ORÇ_2009" xfId="6067"/>
    <cellStyle name="u_Q2 pipeline_ORÇ_2009 2" xfId="9269"/>
    <cellStyle name="u_Q2 pipeline_Pasta2" xfId="6068"/>
    <cellStyle name="u_Q2 pipeline_Pasta2 2" xfId="9270"/>
    <cellStyle name="ubordinated Debt" xfId="6069"/>
    <cellStyle name="Undefined" xfId="6070"/>
    <cellStyle name="Undefined 2" xfId="9271"/>
    <cellStyle name="Underline" xfId="6071"/>
    <cellStyle name="Underline 2" xfId="6072"/>
    <cellStyle name="Underline_Single" xfId="6073"/>
    <cellStyle name="Undertittle" xfId="6074"/>
    <cellStyle name="Unprotect" xfId="6075"/>
    <cellStyle name="Upload Only" xfId="6076"/>
    <cellStyle name="US$#,##0" xfId="6077"/>
    <cellStyle name="US$#,##0.00" xfId="6078"/>
    <cellStyle name="User_Defined_A" xfId="9272"/>
    <cellStyle name="V¡rgula" xfId="9273"/>
    <cellStyle name="Valores[2]" xfId="6079"/>
    <cellStyle name="Valores[2] 2" xfId="9274"/>
    <cellStyle name="Valores[4]" xfId="6080"/>
    <cellStyle name="Valores[4] 2" xfId="9275"/>
    <cellStyle name="ValoresSaldo[2]" xfId="6081"/>
    <cellStyle name="ValoresSaldo[2] 2" xfId="9276"/>
    <cellStyle name="Valuta [0]_laroux" xfId="9277"/>
    <cellStyle name="Valuta_laroux" xfId="9278"/>
    <cellStyle name="Vírgula" xfId="1" builtinId="3"/>
    <cellStyle name="Vírgula 10" xfId="6082"/>
    <cellStyle name="Vírgula 10 2" xfId="6083"/>
    <cellStyle name="Vírgula 10 2 2" xfId="9668"/>
    <cellStyle name="Vírgula 10 3" xfId="9391"/>
    <cellStyle name="Vírgula 10 4" xfId="9669"/>
    <cellStyle name="Vírgula 11" xfId="6084"/>
    <cellStyle name="Vírgula 12" xfId="6085"/>
    <cellStyle name="Vírgula 13" xfId="6086"/>
    <cellStyle name="Vírgula 13 3" xfId="9392"/>
    <cellStyle name="Vírgula 13 3 2" xfId="9670"/>
    <cellStyle name="Vírgula 14" xfId="6241"/>
    <cellStyle name="Vírgula 14 2" xfId="9671"/>
    <cellStyle name="Vírgula 15" xfId="6087"/>
    <cellStyle name="Vírgula 16" xfId="6282"/>
    <cellStyle name="Vírgula 16 2" xfId="9672"/>
    <cellStyle name="Vírgula 17" xfId="6228"/>
    <cellStyle name="Vírgula 17 2" xfId="9673"/>
    <cellStyle name="Vírgula 2" xfId="54"/>
    <cellStyle name="Vírgula 2 10" xfId="67"/>
    <cellStyle name="Vírgula 2 2" xfId="6088"/>
    <cellStyle name="Vírgula 2 2 2" xfId="6089"/>
    <cellStyle name="Vírgula 2 2 2 2" xfId="6090"/>
    <cellStyle name="Vírgula 2 2 2 2 2" xfId="6091"/>
    <cellStyle name="Vírgula 2 2 2 2 2 2" xfId="9674"/>
    <cellStyle name="Vírgula 2 2 2 2 3" xfId="9675"/>
    <cellStyle name="Vírgula 2 2 2 3" xfId="6092"/>
    <cellStyle name="Vírgula 2 2 2 3 2" xfId="9676"/>
    <cellStyle name="Vírgula 2 2 2 4" xfId="9677"/>
    <cellStyle name="Vírgula 2 2 3" xfId="6093"/>
    <cellStyle name="Vírgula 2 2 3 2" xfId="6094"/>
    <cellStyle name="Vírgula 2 2 3 2 2" xfId="9678"/>
    <cellStyle name="Vírgula 2 2 3 3" xfId="9679"/>
    <cellStyle name="Vírgula 2 3" xfId="6095"/>
    <cellStyle name="Vírgula 2 4" xfId="6096"/>
    <cellStyle name="Vírgula 2 4 2" xfId="6097"/>
    <cellStyle name="Vírgula 2 4 2 2" xfId="6098"/>
    <cellStyle name="Vírgula 2 4 2 2 2" xfId="9680"/>
    <cellStyle name="Vírgula 2 4 2 3" xfId="9681"/>
    <cellStyle name="Vírgula 2 4 3" xfId="6099"/>
    <cellStyle name="Vírgula 2 4 3 2" xfId="9682"/>
    <cellStyle name="Vírgula 2 4 4" xfId="9683"/>
    <cellStyle name="Vírgula 2 5" xfId="6100"/>
    <cellStyle name="Vírgula 2 5 2" xfId="6101"/>
    <cellStyle name="Vírgula 2 5 2 2" xfId="9684"/>
    <cellStyle name="Vírgula 2 5 3" xfId="9685"/>
    <cellStyle name="Vírgula 2 6" xfId="6102"/>
    <cellStyle name="Vírgula 2 6 2" xfId="6103"/>
    <cellStyle name="Vírgula 2 6 2 2" xfId="9686"/>
    <cellStyle name="Vírgula 2 6 3" xfId="9687"/>
    <cellStyle name="Vírgula 2 7" xfId="6104"/>
    <cellStyle name="Vírgula 2 7 2" xfId="9688"/>
    <cellStyle name="Vírgula 2 8" xfId="9279"/>
    <cellStyle name="Vírgula 2 9" xfId="71"/>
    <cellStyle name="Vírgula 3" xfId="55"/>
    <cellStyle name="Vírgula 3 2" xfId="6106"/>
    <cellStyle name="Vírgula 3 2 2" xfId="6107"/>
    <cellStyle name="Vírgula 3 3" xfId="6108"/>
    <cellStyle name="Vírgula 3 3 2" xfId="6109"/>
    <cellStyle name="Vírgula 3 3 2 2" xfId="9689"/>
    <cellStyle name="Vírgula 3 3 3" xfId="9690"/>
    <cellStyle name="Vírgula 3 4" xfId="6105"/>
    <cellStyle name="Vírgula 3 4 2" xfId="9691"/>
    <cellStyle name="Vírgula 3 5" xfId="68"/>
    <cellStyle name="Vírgula 4" xfId="53"/>
    <cellStyle name="Vírgula 4 2" xfId="6111"/>
    <cellStyle name="Vírgula 4 3" xfId="6112"/>
    <cellStyle name="Vírgula 4 3 2" xfId="6113"/>
    <cellStyle name="Vírgula 4 3 2 2" xfId="6114"/>
    <cellStyle name="Vírgula 4 3 2 2 2" xfId="9692"/>
    <cellStyle name="Vírgula 4 3 2 3" xfId="9693"/>
    <cellStyle name="Vírgula 4 3 3" xfId="6115"/>
    <cellStyle name="Vírgula 4 3 3 2" xfId="9694"/>
    <cellStyle name="Vírgula 4 3 4" xfId="9695"/>
    <cellStyle name="Vírgula 4 4" xfId="6116"/>
    <cellStyle name="Vírgula 4 4 2" xfId="6117"/>
    <cellStyle name="Vírgula 4 4 2 2" xfId="6118"/>
    <cellStyle name="Vírgula 4 4 2 2 2" xfId="9696"/>
    <cellStyle name="Vírgula 4 4 2 3" xfId="9697"/>
    <cellStyle name="Vírgula 4 4 3" xfId="6119"/>
    <cellStyle name="Vírgula 4 4 3 2" xfId="9698"/>
    <cellStyle name="Vírgula 4 4 4" xfId="9699"/>
    <cellStyle name="Vírgula 4 5" xfId="6120"/>
    <cellStyle name="Vírgula 4 5 2" xfId="6121"/>
    <cellStyle name="Vírgula 4 5 2 2" xfId="9700"/>
    <cellStyle name="Vírgula 4 5 3" xfId="9701"/>
    <cellStyle name="Vírgula 4 6" xfId="6122"/>
    <cellStyle name="Vírgula 4 6 2" xfId="6123"/>
    <cellStyle name="Vírgula 4 6 2 2" xfId="9702"/>
    <cellStyle name="Vírgula 4 6 3" xfId="9703"/>
    <cellStyle name="Vírgula 4 7" xfId="6124"/>
    <cellStyle name="Vírgula 4 7 2" xfId="9704"/>
    <cellStyle name="Vírgula 4 8" xfId="6110"/>
    <cellStyle name="Vírgula 4 8 2" xfId="9705"/>
    <cellStyle name="Vírgula 5" xfId="59"/>
    <cellStyle name="Vírgula 5 2" xfId="6126"/>
    <cellStyle name="Vírgula 5 2 2" xfId="6127"/>
    <cellStyle name="Vírgula 5 2 2 2" xfId="9706"/>
    <cellStyle name="Vírgula 5 2 3" xfId="9707"/>
    <cellStyle name="Vírgula 5 3" xfId="6128"/>
    <cellStyle name="Vírgula 5 3 2" xfId="6129"/>
    <cellStyle name="Vírgula 5 3 2 2" xfId="9708"/>
    <cellStyle name="Vírgula 5 3 3" xfId="9709"/>
    <cellStyle name="Vírgula 5 4" xfId="6130"/>
    <cellStyle name="Vírgula 5 4 2" xfId="9710"/>
    <cellStyle name="Vírgula 5 5" xfId="6125"/>
    <cellStyle name="Vírgula 5 5 2" xfId="9711"/>
    <cellStyle name="Vírgula 6" xfId="6131"/>
    <cellStyle name="Vírgula 6 2" xfId="6132"/>
    <cellStyle name="Vírgula 6 2 2" xfId="6133"/>
    <cellStyle name="Vírgula 6 2 2 2" xfId="9712"/>
    <cellStyle name="Vírgula 6 2 3" xfId="9713"/>
    <cellStyle name="Vírgula 6 3" xfId="6134"/>
    <cellStyle name="Vírgula 6 3 2" xfId="9714"/>
    <cellStyle name="Vírgula 6 4" xfId="9715"/>
    <cellStyle name="Vírgula 7" xfId="6135"/>
    <cellStyle name="Vírgula 7 2" xfId="6136"/>
    <cellStyle name="Vírgula 7 2 2" xfId="6137"/>
    <cellStyle name="Vírgula 7 2 2 2" xfId="9716"/>
    <cellStyle name="Vírgula 7 2 3" xfId="9717"/>
    <cellStyle name="Vírgula 7 3" xfId="6138"/>
    <cellStyle name="Vírgula 7 3 2" xfId="9718"/>
    <cellStyle name="Vírgula 7 4" xfId="9719"/>
    <cellStyle name="Vírgula 8" xfId="6139"/>
    <cellStyle name="Vírgula 8 2" xfId="6140"/>
    <cellStyle name="Vírgula 8 2 2" xfId="9720"/>
    <cellStyle name="Vírgula 8 3" xfId="9721"/>
    <cellStyle name="Vírgula 9" xfId="6141"/>
    <cellStyle name="Vírgula 9 2" xfId="6142"/>
    <cellStyle name="Vírgula 9 2 2" xfId="6143"/>
    <cellStyle name="Vírgula 9 2 2 2" xfId="9722"/>
    <cellStyle name="Vírgula 9 2 3" xfId="9723"/>
    <cellStyle name="Vírgula 9 3" xfId="6144"/>
    <cellStyle name="Vírgula 9 3 2" xfId="9724"/>
    <cellStyle name="Vírgula 9 4" xfId="9725"/>
    <cellStyle name="Vírgula0" xfId="6145"/>
    <cellStyle name="Vírgula0 2" xfId="9280"/>
    <cellStyle name="Währung" xfId="9281"/>
    <cellStyle name="Währung [0]_Compiling Utility Macros" xfId="6146"/>
    <cellStyle name="Währung 2" xfId="9282"/>
    <cellStyle name="Währung_Compiling Utility Macros" xfId="6147"/>
    <cellStyle name="Walutowy [0]_laroux" xfId="6148"/>
    <cellStyle name="Walutowy_laroux" xfId="6149"/>
    <cellStyle name="Warning Text" xfId="6150"/>
    <cellStyle name="Warning Text 2" xfId="6151"/>
    <cellStyle name="White" xfId="6152"/>
    <cellStyle name="X" xfId="6153"/>
    <cellStyle name="X - None" xfId="6154"/>
    <cellStyle name="x_~3097260" xfId="6155"/>
    <cellStyle name="X_Mary911" xfId="6156"/>
    <cellStyle name="X_Mary911 2" xfId="9283"/>
    <cellStyle name="X_Mary911_star0428" xfId="6157"/>
    <cellStyle name="X_Mary911_star0428_Cópia de Modelo - Fluxo de Caixa Orcamento 09052009_V36_3" xfId="6158"/>
    <cellStyle name="X_Mary911_star0428_Cópia de Modelo - Fluxo de Caixa Orcamento 09052009_V36_3_Apresentação 230609" xfId="6159"/>
    <cellStyle name="X_Mary911_star0428_Cópia de Modelo - Fluxo de Caixa Orcamento 09052009_V36_3_Apresentação 230609_Fluxo de caixa 20100224" xfId="9284"/>
    <cellStyle name="X_Mary911_star0428_Cópia de Modelo - Fluxo de Caixa Orcamento 09052009_V36_3_Apresentação 230609_Geração de Caixa Operacional 2010 (2)" xfId="9285"/>
    <cellStyle name="X_Mary911_star0428_Cópia de Modelo - Fluxo de Caixa Orcamento 09052009_V36_3_Apresentação 230609_Orçamento Caixa 2010 (após - 60 MM)_dolar_19032010" xfId="9286"/>
    <cellStyle name="X_Mary911_star0428_Fluxo de caixa 20100224" xfId="9287"/>
    <cellStyle name="X_Mary911_star0428_Fluxo de Caixa Orcamento FINAL_13052009" xfId="6160"/>
    <cellStyle name="X_Mary911_star0428_Geração de Caixa Operacional 2010 (2)" xfId="9288"/>
    <cellStyle name="X_Mary911_star0428_GOL Financial Model" xfId="6161"/>
    <cellStyle name="X_Mary911_star0428_GOL Financial Model ORC2007 v16" xfId="6162"/>
    <cellStyle name="X_Mary911_star0428_GOL Financial Model ORC2007 v16_Apresentação 230609" xfId="6163"/>
    <cellStyle name="X_Mary911_star0428_GOL Financial Model ORC2007 v16_Apresentação 230609_Fluxo de caixa 20100224" xfId="9289"/>
    <cellStyle name="X_Mary911_star0428_GOL Financial Model ORC2007 v16_Apresentação 230609_Geração de Caixa Operacional 2010 (2)" xfId="9290"/>
    <cellStyle name="X_Mary911_star0428_GOL Financial Model ORC2007 v16_Apresentação 230609_Orçamento Caixa 2010 (após - 60 MM)_dolar_19032010" xfId="9291"/>
    <cellStyle name="X_Mary911_star0428_GOL Financial Model ORC2007 v16_Fluxo de Caixa Orcamento FINAL_13052009" xfId="6164"/>
    <cellStyle name="X_Mary911_star0428_GOL Financial Model_Apresentação 230609" xfId="6165"/>
    <cellStyle name="X_Mary911_star0428_GOL Financial Model_Apresentação 230609_Fluxo de caixa 20100224" xfId="9292"/>
    <cellStyle name="X_Mary911_star0428_GOL Financial Model_Apresentação 230609_Geração de Caixa Operacional 2010 (2)" xfId="9293"/>
    <cellStyle name="X_Mary911_star0428_GOL Financial Model_Apresentação 230609_Orçamento Caixa 2010 (após - 60 MM)_dolar_19032010" xfId="9294"/>
    <cellStyle name="X_Mary911_star0428_GOL Financial Model_Fluxo de Caixa Orcamento FINAL_13052009" xfId="6166"/>
    <cellStyle name="X_Mary911_star0428_MJS New Look Merger Model" xfId="6167"/>
    <cellStyle name="X_Mary911_star0428_MJS New Look Merger Model 2" xfId="9295"/>
    <cellStyle name="X_Mary911_star0428_MJS New Look Merger Model_Cópia de Modelo - Fluxo de Caixa Orcamento 09052009_V36_3" xfId="6168"/>
    <cellStyle name="X_Mary911_star0428_MJS New Look Merger Model_Cópia de Modelo - Fluxo de Caixa Orcamento 09052009_V36_3 2" xfId="9296"/>
    <cellStyle name="X_Mary911_star0428_MJS New Look Merger Model_Cópia de Modelo - Fluxo de Caixa Orcamento 09052009_V36_3_Apresentação 230609" xfId="6169"/>
    <cellStyle name="X_Mary911_star0428_MJS New Look Merger Model_Cópia de Modelo - Fluxo de Caixa Orcamento 09052009_V36_3_Apresentação 230609 2" xfId="9297"/>
    <cellStyle name="X_Mary911_star0428_MJS New Look Merger Model_Cópia de Modelo - Fluxo de Caixa Orcamento 09052009_V36_3_Apresentação 230609_Fluxo de caixa 20100224" xfId="9298"/>
    <cellStyle name="X_Mary911_star0428_MJS New Look Merger Model_Cópia de Modelo - Fluxo de Caixa Orcamento 09052009_V36_3_Apresentação 230609_Fluxo de caixa 20100224 2" xfId="9299"/>
    <cellStyle name="X_Mary911_star0428_MJS New Look Merger Model_Cópia de Modelo - Fluxo de Caixa Orcamento 09052009_V36_3_Apresentação 230609_Geração de Caixa Operacional 2010 (2)" xfId="9300"/>
    <cellStyle name="X_Mary911_star0428_MJS New Look Merger Model_Cópia de Modelo - Fluxo de Caixa Orcamento 09052009_V36_3_Apresentação 230609_Geração de Caixa Operacional 2010 (2) 2" xfId="9301"/>
    <cellStyle name="X_Mary911_star0428_MJS New Look Merger Model_Cópia de Modelo - Fluxo de Caixa Orcamento 09052009_V36_3_Apresentação 230609_Orçamento Caixa 2010 (após - 60 MM)_dolar_19032010" xfId="9302"/>
    <cellStyle name="X_Mary911_star0428_MJS New Look Merger Model_Cópia de Modelo - Fluxo de Caixa Orcamento 09052009_V36_3_Apresentação 230609_Orçamento Caixa 2010 (após - 60 MM)_dolar_19032010 2" xfId="9303"/>
    <cellStyle name="X_Mary911_star0428_MJS New Look Merger Model_Fluxo de caixa 20100224" xfId="9304"/>
    <cellStyle name="X_Mary911_star0428_MJS New Look Merger Model_Fluxo de caixa 20100224 2" xfId="9305"/>
    <cellStyle name="X_Mary911_star0428_MJS New Look Merger Model_Fluxo de Caixa Orcamento FINAL_13052009" xfId="6170"/>
    <cellStyle name="X_Mary911_star0428_MJS New Look Merger Model_Fluxo de Caixa Orcamento FINAL_13052009 2" xfId="9306"/>
    <cellStyle name="X_Mary911_star0428_MJS New Look Merger Model_Geração de Caixa Operacional 2010 (2)" xfId="9307"/>
    <cellStyle name="X_Mary911_star0428_MJS New Look Merger Model_Geração de Caixa Operacional 2010 (2) 2" xfId="9308"/>
    <cellStyle name="X_Mary911_star0428_MJS New Look Merger Model_GOL Financial Model" xfId="6171"/>
    <cellStyle name="X_Mary911_star0428_MJS New Look Merger Model_GOL Financial Model 2" xfId="9309"/>
    <cellStyle name="X_Mary911_star0428_MJS New Look Merger Model_GOL Financial Model ORC2007 v16" xfId="6172"/>
    <cellStyle name="X_Mary911_star0428_MJS New Look Merger Model_GOL Financial Model ORC2007 v16 2" xfId="9310"/>
    <cellStyle name="X_Mary911_star0428_MJS New Look Merger Model_GOL Financial Model ORC2007 v16_Apresentação 230609" xfId="6173"/>
    <cellStyle name="X_Mary911_star0428_MJS New Look Merger Model_GOL Financial Model ORC2007 v16_Apresentação 230609 2" xfId="9311"/>
    <cellStyle name="X_Mary911_star0428_MJS New Look Merger Model_GOL Financial Model ORC2007 v16_Apresentação 230609_Fluxo de caixa 20100224" xfId="9312"/>
    <cellStyle name="X_Mary911_star0428_MJS New Look Merger Model_GOL Financial Model ORC2007 v16_Apresentação 230609_Fluxo de caixa 20100224 2" xfId="9313"/>
    <cellStyle name="X_Mary911_star0428_MJS New Look Merger Model_GOL Financial Model ORC2007 v16_Apresentação 230609_Geração de Caixa Operacional 2010 (2)" xfId="9314"/>
    <cellStyle name="X_Mary911_star0428_MJS New Look Merger Model_GOL Financial Model ORC2007 v16_Apresentação 230609_Geração de Caixa Operacional 2010 (2) 2" xfId="9315"/>
    <cellStyle name="X_Mary911_star0428_MJS New Look Merger Model_GOL Financial Model ORC2007 v16_Apresentação 230609_Orçamento Caixa 2010 (após - 60 MM)_dolar_19032010" xfId="9316"/>
    <cellStyle name="X_Mary911_star0428_MJS New Look Merger Model_GOL Financial Model ORC2007 v16_Apresentação 230609_Orçamento Caixa 2010 (após - 60 MM)_dolar_19032010 2" xfId="9317"/>
    <cellStyle name="X_Mary911_star0428_MJS New Look Merger Model_GOL Financial Model ORC2007 v16_Fluxo de Caixa Orcamento FINAL_13052009" xfId="6174"/>
    <cellStyle name="X_Mary911_star0428_MJS New Look Merger Model_GOL Financial Model ORC2007 v16_Fluxo de Caixa Orcamento FINAL_13052009 2" xfId="9318"/>
    <cellStyle name="X_Mary911_star0428_MJS New Look Merger Model_GOL Financial Model_Apresentação 230609" xfId="6175"/>
    <cellStyle name="X_Mary911_star0428_MJS New Look Merger Model_GOL Financial Model_Apresentação 230609 2" xfId="9319"/>
    <cellStyle name="X_Mary911_star0428_MJS New Look Merger Model_GOL Financial Model_Apresentação 230609_Fluxo de caixa 20100224" xfId="9320"/>
    <cellStyle name="X_Mary911_star0428_MJS New Look Merger Model_GOL Financial Model_Apresentação 230609_Fluxo de caixa 20100224 2" xfId="9321"/>
    <cellStyle name="X_Mary911_star0428_MJS New Look Merger Model_GOL Financial Model_Apresentação 230609_Geração de Caixa Operacional 2010 (2)" xfId="9322"/>
    <cellStyle name="X_Mary911_star0428_MJS New Look Merger Model_GOL Financial Model_Apresentação 230609_Geração de Caixa Operacional 2010 (2) 2" xfId="9323"/>
    <cellStyle name="X_Mary911_star0428_MJS New Look Merger Model_GOL Financial Model_Apresentação 230609_Orçamento Caixa 2010 (após - 60 MM)_dolar_19032010" xfId="9324"/>
    <cellStyle name="X_Mary911_star0428_MJS New Look Merger Model_GOL Financial Model_Apresentação 230609_Orçamento Caixa 2010 (após - 60 MM)_dolar_19032010 2" xfId="9325"/>
    <cellStyle name="X_Mary911_star0428_MJS New Look Merger Model_GOL Financial Model_Fluxo de Caixa Orcamento FINAL_13052009" xfId="6176"/>
    <cellStyle name="X_Mary911_star0428_MJS New Look Merger Model_GOL Financial Model_Fluxo de Caixa Orcamento FINAL_13052009 2" xfId="9326"/>
    <cellStyle name="X_Mary911_star0428_MJS New Look Merger Model_Orçamento Caixa 2010 (após - 60 MM)_dolar_19032010" xfId="9327"/>
    <cellStyle name="X_Mary911_star0428_MJS New Look Merger Model_Orçamento Caixa 2010 (após - 60 MM)_dolar_19032010 2" xfId="9328"/>
    <cellStyle name="X_Mary911_star0428_MJS New Look Merger Model_Pasta2" xfId="6177"/>
    <cellStyle name="X_Mary911_star0428_MJS New Look Merger Model_Pasta2 2" xfId="9329"/>
    <cellStyle name="X_Mary911_star0428_MJS New Look Merger Model_Pasta2_Fluxo de caixa 20100224" xfId="9330"/>
    <cellStyle name="X_Mary911_star0428_MJS New Look Merger Model_Pasta2_Fluxo de caixa 20100224 2" xfId="9331"/>
    <cellStyle name="X_Mary911_star0428_MJS New Look Merger Model_Pasta2_Geração de Caixa Operacional 2010 (2)" xfId="9332"/>
    <cellStyle name="X_Mary911_star0428_MJS New Look Merger Model_Pasta2_Geração de Caixa Operacional 2010 (2) 2" xfId="9333"/>
    <cellStyle name="X_Mary911_star0428_MJS New Look Merger Model_Pasta2_Orçamento Caixa 2010 (após - 60 MM)_dolar_19032010" xfId="9334"/>
    <cellStyle name="X_Mary911_star0428_MJS New Look Merger Model_Pasta2_Orçamento Caixa 2010 (após - 60 MM)_dolar_19032010 2" xfId="9335"/>
    <cellStyle name="X_Mary911_star0428_MJS New Look Merger Model_Relatório (2006)" xfId="6178"/>
    <cellStyle name="X_Mary911_star0428_MJS New Look Merger Model_Relatório (2007)" xfId="6179"/>
    <cellStyle name="X_Mary911_star0428_Orçamento Caixa 2010 (após - 60 MM)_dolar_19032010" xfId="9336"/>
    <cellStyle name="X_Mary911_star0428_Pasta2" xfId="6180"/>
    <cellStyle name="X_Mary911_star0428_Pasta2_Fluxo de caixa 20100224" xfId="9337"/>
    <cellStyle name="X_Mary911_star0428_Pasta2_Geração de Caixa Operacional 2010 (2)" xfId="9338"/>
    <cellStyle name="X_Mary911_star0428_Pasta2_Orçamento Caixa 2010 (após - 60 MM)_dolar_19032010" xfId="9339"/>
    <cellStyle name="X_Mary911_star0428_Relatório (2006)" xfId="6181"/>
    <cellStyle name="X_Mary911_star0428_Relatório (2007)" xfId="6182"/>
    <cellStyle name="X_star0428" xfId="6183"/>
    <cellStyle name="X_star0428_MJS New Look Merger Model" xfId="6184"/>
    <cellStyle name="X_star0428_MJS New Look Merger Model 2" xfId="9340"/>
    <cellStyle name="X_star0428_MJS New Look Merger Model_Cópia de Modelo - Fluxo de Caixa Orcamento 09052009_V36_3" xfId="6185"/>
    <cellStyle name="X_star0428_MJS New Look Merger Model_Cópia de Modelo - Fluxo de Caixa Orcamento 09052009_V36_3 2" xfId="9341"/>
    <cellStyle name="X_star0428_MJS New Look Merger Model_Cópia de Modelo - Fluxo de Caixa Orcamento 09052009_V36_3_Apresentação 230609" xfId="6186"/>
    <cellStyle name="X_star0428_MJS New Look Merger Model_Cópia de Modelo - Fluxo de Caixa Orcamento 09052009_V36_3_Apresentação 230609 2" xfId="9342"/>
    <cellStyle name="X_star0428_MJS New Look Merger Model_Cópia de Modelo - Fluxo de Caixa Orcamento 09052009_V36_3_Apresentação 230609_Fluxo de caixa 20100224" xfId="9343"/>
    <cellStyle name="X_star0428_MJS New Look Merger Model_Cópia de Modelo - Fluxo de Caixa Orcamento 09052009_V36_3_Apresentação 230609_Fluxo de caixa 20100224 2" xfId="9344"/>
    <cellStyle name="X_star0428_MJS New Look Merger Model_Cópia de Modelo - Fluxo de Caixa Orcamento 09052009_V36_3_Apresentação 230609_Geração de Caixa Operacional 2010 (2)" xfId="9345"/>
    <cellStyle name="X_star0428_MJS New Look Merger Model_Cópia de Modelo - Fluxo de Caixa Orcamento 09052009_V36_3_Apresentação 230609_Geração de Caixa Operacional 2010 (2) 2" xfId="9346"/>
    <cellStyle name="X_star0428_MJS New Look Merger Model_Cópia de Modelo - Fluxo de Caixa Orcamento 09052009_V36_3_Apresentação 230609_Orçamento Caixa 2010 (após - 60 MM)_dolar_19032010" xfId="9347"/>
    <cellStyle name="X_star0428_MJS New Look Merger Model_Cópia de Modelo - Fluxo de Caixa Orcamento 09052009_V36_3_Apresentação 230609_Orçamento Caixa 2010 (após - 60 MM)_dolar_19032010 2" xfId="9348"/>
    <cellStyle name="X_star0428_MJS New Look Merger Model_Fluxo de caixa 20100224" xfId="9349"/>
    <cellStyle name="X_star0428_MJS New Look Merger Model_Fluxo de caixa 20100224 2" xfId="9350"/>
    <cellStyle name="X_star0428_MJS New Look Merger Model_Fluxo de Caixa Orcamento FINAL_13052009" xfId="6187"/>
    <cellStyle name="X_star0428_MJS New Look Merger Model_Fluxo de Caixa Orcamento FINAL_13052009 2" xfId="9351"/>
    <cellStyle name="X_star0428_MJS New Look Merger Model_Geração de Caixa Operacional 2010 (2)" xfId="9352"/>
    <cellStyle name="X_star0428_MJS New Look Merger Model_Geração de Caixa Operacional 2010 (2) 2" xfId="9353"/>
    <cellStyle name="X_star0428_MJS New Look Merger Model_GOL Financial Model" xfId="6188"/>
    <cellStyle name="X_star0428_MJS New Look Merger Model_GOL Financial Model 2" xfId="9354"/>
    <cellStyle name="X_star0428_MJS New Look Merger Model_GOL Financial Model ORC2007 v16" xfId="6189"/>
    <cellStyle name="X_star0428_MJS New Look Merger Model_GOL Financial Model ORC2007 v16 2" xfId="9355"/>
    <cellStyle name="X_star0428_MJS New Look Merger Model_GOL Financial Model ORC2007 v16_Apresentação 230609" xfId="6190"/>
    <cellStyle name="X_star0428_MJS New Look Merger Model_GOL Financial Model ORC2007 v16_Apresentação 230609 2" xfId="9356"/>
    <cellStyle name="X_star0428_MJS New Look Merger Model_GOL Financial Model ORC2007 v16_Apresentação 230609_Fluxo de caixa 20100224" xfId="9357"/>
    <cellStyle name="X_star0428_MJS New Look Merger Model_GOL Financial Model ORC2007 v16_Apresentação 230609_Fluxo de caixa 20100224 2" xfId="9358"/>
    <cellStyle name="X_star0428_MJS New Look Merger Model_GOL Financial Model ORC2007 v16_Apresentação 230609_Geração de Caixa Operacional 2010 (2)" xfId="9359"/>
    <cellStyle name="X_star0428_MJS New Look Merger Model_GOL Financial Model ORC2007 v16_Apresentação 230609_Geração de Caixa Operacional 2010 (2) 2" xfId="9360"/>
    <cellStyle name="X_star0428_MJS New Look Merger Model_GOL Financial Model ORC2007 v16_Apresentação 230609_Orçamento Caixa 2010 (após - 60 MM)_dolar_19032010" xfId="9361"/>
    <cellStyle name="X_star0428_MJS New Look Merger Model_GOL Financial Model ORC2007 v16_Apresentação 230609_Orçamento Caixa 2010 (após - 60 MM)_dolar_19032010 2" xfId="9362"/>
    <cellStyle name="X_star0428_MJS New Look Merger Model_GOL Financial Model ORC2007 v16_Fluxo de Caixa Orcamento FINAL_13052009" xfId="6191"/>
    <cellStyle name="X_star0428_MJS New Look Merger Model_GOL Financial Model ORC2007 v16_Fluxo de Caixa Orcamento FINAL_13052009 2" xfId="9363"/>
    <cellStyle name="X_star0428_MJS New Look Merger Model_GOL Financial Model_Apresentação 230609" xfId="6192"/>
    <cellStyle name="X_star0428_MJS New Look Merger Model_GOL Financial Model_Apresentação 230609 2" xfId="9364"/>
    <cellStyle name="X_star0428_MJS New Look Merger Model_GOL Financial Model_Apresentação 230609_Fluxo de caixa 20100224" xfId="9365"/>
    <cellStyle name="X_star0428_MJS New Look Merger Model_GOL Financial Model_Apresentação 230609_Fluxo de caixa 20100224 2" xfId="9366"/>
    <cellStyle name="X_star0428_MJS New Look Merger Model_GOL Financial Model_Apresentação 230609_Geração de Caixa Operacional 2010 (2)" xfId="9367"/>
    <cellStyle name="X_star0428_MJS New Look Merger Model_GOL Financial Model_Apresentação 230609_Geração de Caixa Operacional 2010 (2) 2" xfId="9368"/>
    <cellStyle name="X_star0428_MJS New Look Merger Model_GOL Financial Model_Apresentação 230609_Orçamento Caixa 2010 (após - 60 MM)_dolar_19032010" xfId="9369"/>
    <cellStyle name="X_star0428_MJS New Look Merger Model_GOL Financial Model_Apresentação 230609_Orçamento Caixa 2010 (após - 60 MM)_dolar_19032010 2" xfId="9370"/>
    <cellStyle name="X_star0428_MJS New Look Merger Model_GOL Financial Model_Fluxo de Caixa Orcamento FINAL_13052009" xfId="6193"/>
    <cellStyle name="X_star0428_MJS New Look Merger Model_GOL Financial Model_Fluxo de Caixa Orcamento FINAL_13052009 2" xfId="9371"/>
    <cellStyle name="X_star0428_MJS New Look Merger Model_Orçamento Caixa 2010 (após - 60 MM)_dolar_19032010" xfId="9372"/>
    <cellStyle name="X_star0428_MJS New Look Merger Model_Orçamento Caixa 2010 (após - 60 MM)_dolar_19032010 2" xfId="9373"/>
    <cellStyle name="X_star0428_MJS New Look Merger Model_Pasta2" xfId="6194"/>
    <cellStyle name="X_star0428_MJS New Look Merger Model_Pasta2 2" xfId="9374"/>
    <cellStyle name="X_star0428_MJS New Look Merger Model_Pasta2_Fluxo de caixa 20100224" xfId="9375"/>
    <cellStyle name="X_star0428_MJS New Look Merger Model_Pasta2_Fluxo de caixa 20100224 2" xfId="9376"/>
    <cellStyle name="X_star0428_MJS New Look Merger Model_Pasta2_Geração de Caixa Operacional 2010 (2)" xfId="9377"/>
    <cellStyle name="X_star0428_MJS New Look Merger Model_Pasta2_Geração de Caixa Operacional 2010 (2) 2" xfId="9378"/>
    <cellStyle name="X_star0428_MJS New Look Merger Model_Pasta2_Orçamento Caixa 2010 (após - 60 MM)_dolar_19032010" xfId="9379"/>
    <cellStyle name="X_star0428_MJS New Look Merger Model_Pasta2_Orçamento Caixa 2010 (após - 60 MM)_dolar_19032010 2" xfId="9380"/>
    <cellStyle name="X_star0428_MJS New Look Merger Model_Relatório (2006)" xfId="6195"/>
    <cellStyle name="X_star0428_MJS New Look Merger Model_Relatório (2007)" xfId="6196"/>
    <cellStyle name="x0" xfId="6197"/>
    <cellStyle name="x1" xfId="6198"/>
    <cellStyle name="x2" xfId="6199"/>
    <cellStyle name="XComma" xfId="6200"/>
    <cellStyle name="XComma 0.0" xfId="6201"/>
    <cellStyle name="XComma 0.00" xfId="6202"/>
    <cellStyle name="XComma 0.000" xfId="6203"/>
    <cellStyle name="XComma_Empr-CP LP - 1º e 2º  trim-2001." xfId="6204"/>
    <cellStyle name="XCurrency" xfId="6205"/>
    <cellStyle name="XCurrency 0.0" xfId="6206"/>
    <cellStyle name="XCurrency 0.00" xfId="6207"/>
    <cellStyle name="XCurrency 0.000" xfId="6208"/>
    <cellStyle name="XCurrency_Amortização Outorga" xfId="6209"/>
    <cellStyle name="Year" xfId="6210"/>
    <cellStyle name="Year 2" xfId="9381"/>
    <cellStyle name="Year Estimate" xfId="6211"/>
    <cellStyle name="Year_UBS Pactual LatAm telecom database July 2007" xfId="6212"/>
    <cellStyle name="YearlyColumn" xfId="6213"/>
    <cellStyle name="쉼표_´00 INV MEETING(SYS) 29-12" xfId="6214"/>
    <cellStyle name="콤마 [0]_Auditoria_Dezembro2000" xfId="6215"/>
    <cellStyle name="콤마_Auditoria_Dezembro2000" xfId="6216"/>
    <cellStyle name="통화 [0]_laroux" xfId="6217"/>
    <cellStyle name="통화_laroux" xfId="6218"/>
    <cellStyle name="표준_´00 INV MEETING(SYS) 29-12" xfId="6219"/>
    <cellStyle name="一般_1999_CORP ACCTG" xfId="6220"/>
    <cellStyle name="千分位[0]_PERSONAL" xfId="6221"/>
    <cellStyle name="千分位_PERSONAL" xfId="6222"/>
    <cellStyle name="彡佊乒䱁弱佊乒䱁ㄸ⤱⤲吠䱁Ⱓ⌣尰㬩⡟刢∤⁜" xfId="9382"/>
    <cellStyle name="彡佊乒䱁弱佊乒䱁ㄸ⤱⤲吠䱁Ⱓ⌣尰㬩⡟刢∤⁜ 2" xfId="9383"/>
    <cellStyle name="標準_9-27出稿見積" xfId="9384"/>
    <cellStyle name="砀" xfId="9385"/>
    <cellStyle name="貨幣 [0]_PERSONAL" xfId="6223"/>
    <cellStyle name="貨幣_PERSONAL" xfId="6224"/>
  </cellStyles>
  <dxfs count="0"/>
  <tableStyles count="0" defaultTableStyle="TableStyleMedium2" defaultPivotStyle="PivotStyleLight16"/>
  <colors>
    <mruColors>
      <color rgb="FFF5770F"/>
      <color rgb="FFFFFFCC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152400</xdr:rowOff>
    </xdr:from>
    <xdr:to>
      <xdr:col>0</xdr:col>
      <xdr:colOff>1838325</xdr:colOff>
      <xdr:row>3</xdr:row>
      <xdr:rowOff>23063</xdr:rowOff>
    </xdr:to>
    <xdr:pic>
      <xdr:nvPicPr>
        <xdr:cNvPr id="3" name="Picture 719">
          <a:extLst>
            <a:ext uri="{FF2B5EF4-FFF2-40B4-BE49-F238E27FC236}">
              <a16:creationId xmlns:a16="http://schemas.microsoft.com/office/drawing/2014/main" id="{79F52574-69CB-4F5E-8529-004D65680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52400"/>
          <a:ext cx="1619250" cy="356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67920</xdr:colOff>
      <xdr:row>0</xdr:row>
      <xdr:rowOff>0</xdr:rowOff>
    </xdr:from>
    <xdr:to>
      <xdr:col>0</xdr:col>
      <xdr:colOff>2256921</xdr:colOff>
      <xdr:row>4</xdr:row>
      <xdr:rowOff>52899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88" b="26740"/>
        <a:stretch/>
      </xdr:blipFill>
      <xdr:spPr>
        <a:xfrm>
          <a:off x="67920" y="0"/>
          <a:ext cx="2189001" cy="7005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67920</xdr:colOff>
      <xdr:row>0</xdr:row>
      <xdr:rowOff>0</xdr:rowOff>
    </xdr:from>
    <xdr:to>
      <xdr:col>0</xdr:col>
      <xdr:colOff>2256921</xdr:colOff>
      <xdr:row>4</xdr:row>
      <xdr:rowOff>52899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88" b="26740"/>
        <a:stretch/>
      </xdr:blipFill>
      <xdr:spPr>
        <a:xfrm>
          <a:off x="67920" y="0"/>
          <a:ext cx="2189001" cy="7005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Dados%20ICB_4Q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Dados%20ICB_1Q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uguês|Dados"/>
      <sheetName val="EBITDA &amp; DRE"/>
      <sheetName val="Fluxo Caixa_BP_Alavanc"/>
    </sheetNames>
    <sheetDataSet>
      <sheetData sheetId="0"/>
      <sheetData sheetId="1">
        <row r="10">
          <cell r="AA10">
            <v>928312.99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uguês|Dados"/>
      <sheetName val="EBITDA &amp; DRE"/>
      <sheetName val="Fluxo Caixa_BP_Alavanc"/>
    </sheetNames>
    <sheetDataSet>
      <sheetData sheetId="0" refreshError="1"/>
      <sheetData sheetId="1">
        <row r="10">
          <cell r="X10">
            <v>253874.60057936431</v>
          </cell>
          <cell r="Y10">
            <v>238681</v>
          </cell>
          <cell r="Z10">
            <v>192599.22052078112</v>
          </cell>
          <cell r="AB10">
            <v>136706.18781999999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Y174"/>
  <sheetViews>
    <sheetView showGridLines="0" zoomScale="120" zoomScaleNormal="120" workbookViewId="0">
      <pane xSplit="2" ySplit="5" topLeftCell="C14" activePane="bottomRight" state="frozen"/>
      <selection pane="topRight" activeCell="C1" sqref="C1"/>
      <selection pane="bottomLeft" activeCell="A6" sqref="A6"/>
      <selection pane="bottomRight" activeCell="C1" sqref="C1:F1048576"/>
    </sheetView>
  </sheetViews>
  <sheetFormatPr defaultRowHeight="12.75"/>
  <cols>
    <col min="1" max="1" width="64.5703125" customWidth="1"/>
    <col min="2" max="2" width="12.5703125" bestFit="1" customWidth="1"/>
    <col min="3" max="3" width="11.85546875" customWidth="1"/>
    <col min="4" max="4" width="10.7109375" customWidth="1"/>
    <col min="5" max="8" width="10.28515625" customWidth="1"/>
    <col min="9" max="9" width="10.7109375" customWidth="1"/>
    <col min="10" max="26" width="10.28515625" customWidth="1"/>
    <col min="27" max="28" width="10.140625" customWidth="1"/>
    <col min="29" max="29" width="10" customWidth="1"/>
    <col min="30" max="32" width="10.5703125" customWidth="1"/>
    <col min="33" max="33" width="11.140625" customWidth="1"/>
    <col min="34" max="34" width="10.5703125" customWidth="1"/>
    <col min="35" max="35" width="12.140625" bestFit="1" customWidth="1"/>
    <col min="36" max="36" width="2.5703125" style="35" bestFit="1" customWidth="1"/>
    <col min="37" max="37" width="7.7109375" style="35" customWidth="1"/>
    <col min="38" max="38" width="7.28515625" style="35" customWidth="1"/>
    <col min="39" max="40" width="9.140625" style="35" customWidth="1"/>
    <col min="41" max="41" width="8.85546875" style="35" customWidth="1"/>
    <col min="42" max="42" width="9.140625" style="35" customWidth="1"/>
    <col min="43" max="44" width="9.140625" style="35"/>
  </cols>
  <sheetData>
    <row r="1" spans="1:3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3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35">
      <c r="A3" s="16"/>
      <c r="B3" s="16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35">
      <c r="A4" s="16"/>
      <c r="B4" s="16"/>
      <c r="C4" s="16"/>
      <c r="D4" s="16"/>
      <c r="E4" s="16"/>
      <c r="F4" s="16"/>
      <c r="G4" s="16"/>
      <c r="H4" s="16"/>
      <c r="I4" s="16"/>
      <c r="K4" s="16"/>
      <c r="L4" s="16"/>
      <c r="M4" s="16"/>
      <c r="N4" s="16"/>
      <c r="O4" s="16"/>
      <c r="P4" s="16"/>
      <c r="Q4" s="16"/>
      <c r="R4" s="16"/>
      <c r="S4" s="16"/>
    </row>
    <row r="5" spans="1:35">
      <c r="A5" s="72"/>
      <c r="B5" s="72" t="s">
        <v>1</v>
      </c>
      <c r="C5" s="73" t="s">
        <v>0</v>
      </c>
      <c r="D5" s="73" t="s">
        <v>18</v>
      </c>
      <c r="E5" s="73" t="s">
        <v>19</v>
      </c>
      <c r="F5" s="73" t="s">
        <v>20</v>
      </c>
      <c r="G5" s="73" t="s">
        <v>21</v>
      </c>
      <c r="H5" s="73" t="s">
        <v>22</v>
      </c>
      <c r="I5" s="73" t="s">
        <v>23</v>
      </c>
      <c r="J5" s="73" t="s">
        <v>24</v>
      </c>
      <c r="K5" s="73" t="s">
        <v>25</v>
      </c>
      <c r="L5" s="73" t="s">
        <v>26</v>
      </c>
      <c r="M5" s="73" t="s">
        <v>27</v>
      </c>
      <c r="N5" s="73" t="s">
        <v>28</v>
      </c>
      <c r="O5" s="73" t="s">
        <v>29</v>
      </c>
      <c r="P5" s="73" t="s">
        <v>30</v>
      </c>
      <c r="Q5" s="73" t="s">
        <v>31</v>
      </c>
      <c r="R5" s="73" t="s">
        <v>34</v>
      </c>
      <c r="S5" s="73" t="s">
        <v>35</v>
      </c>
      <c r="T5" s="73" t="s">
        <v>37</v>
      </c>
      <c r="U5" s="73" t="s">
        <v>38</v>
      </c>
      <c r="V5" s="73" t="s">
        <v>41</v>
      </c>
      <c r="W5" s="73" t="s">
        <v>42</v>
      </c>
      <c r="X5" s="73" t="s">
        <v>44</v>
      </c>
      <c r="Y5" s="73" t="s">
        <v>45</v>
      </c>
      <c r="Z5" s="73" t="s">
        <v>46</v>
      </c>
      <c r="AA5" s="73" t="s">
        <v>47</v>
      </c>
      <c r="AB5" s="73" t="s">
        <v>48</v>
      </c>
      <c r="AC5" s="73" t="s">
        <v>49</v>
      </c>
      <c r="AD5" s="73" t="s">
        <v>50</v>
      </c>
      <c r="AE5" s="73" t="s">
        <v>51</v>
      </c>
      <c r="AF5" s="74" t="s">
        <v>52</v>
      </c>
      <c r="AG5" s="75" t="s">
        <v>53</v>
      </c>
      <c r="AH5" s="75" t="s">
        <v>54</v>
      </c>
      <c r="AI5" s="75" t="s">
        <v>55</v>
      </c>
    </row>
    <row r="6" spans="1:35">
      <c r="A6" s="76" t="s">
        <v>168</v>
      </c>
      <c r="B6" s="77"/>
      <c r="C6" s="78"/>
      <c r="D6" s="78"/>
      <c r="E6" s="78"/>
      <c r="F6" s="78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</row>
    <row r="7" spans="1:35">
      <c r="A7" s="3"/>
      <c r="B7" s="1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35">
      <c r="A8" s="6" t="s">
        <v>60</v>
      </c>
      <c r="B8" s="6" t="s">
        <v>56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5"/>
      <c r="AC8" s="5"/>
      <c r="AD8" s="34"/>
      <c r="AE8" s="34"/>
      <c r="AF8" s="34"/>
      <c r="AG8" s="34"/>
      <c r="AH8" s="34"/>
      <c r="AI8" s="7">
        <v>2065.498149</v>
      </c>
    </row>
    <row r="9" spans="1:35">
      <c r="A9" s="8" t="s">
        <v>57</v>
      </c>
      <c r="B9" s="16" t="s">
        <v>56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AI9" s="5">
        <v>15398.373392592592</v>
      </c>
    </row>
    <row r="10" spans="1:35">
      <c r="A10" s="6" t="s">
        <v>58</v>
      </c>
      <c r="B10" s="6" t="s">
        <v>5</v>
      </c>
      <c r="C10" s="79">
        <f t="shared" ref="C10:AH10" si="0">IFERROR(C8/C9,0)</f>
        <v>0</v>
      </c>
      <c r="D10" s="79">
        <f t="shared" si="0"/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  <c r="L10" s="79">
        <f t="shared" si="0"/>
        <v>0</v>
      </c>
      <c r="M10" s="79">
        <f t="shared" si="0"/>
        <v>0</v>
      </c>
      <c r="N10" s="79">
        <f t="shared" si="0"/>
        <v>0</v>
      </c>
      <c r="O10" s="79">
        <f t="shared" si="0"/>
        <v>0</v>
      </c>
      <c r="P10" s="79">
        <f t="shared" si="0"/>
        <v>0</v>
      </c>
      <c r="Q10" s="79">
        <f t="shared" si="0"/>
        <v>0</v>
      </c>
      <c r="R10" s="79">
        <f t="shared" si="0"/>
        <v>0</v>
      </c>
      <c r="S10" s="79">
        <f t="shared" si="0"/>
        <v>0</v>
      </c>
      <c r="T10" s="79">
        <f t="shared" si="0"/>
        <v>0</v>
      </c>
      <c r="U10" s="79">
        <f t="shared" si="0"/>
        <v>0</v>
      </c>
      <c r="V10" s="79">
        <f t="shared" si="0"/>
        <v>0</v>
      </c>
      <c r="W10" s="79">
        <f t="shared" si="0"/>
        <v>0</v>
      </c>
      <c r="X10" s="79">
        <f t="shared" si="0"/>
        <v>0</v>
      </c>
      <c r="Y10" s="79">
        <f t="shared" si="0"/>
        <v>0</v>
      </c>
      <c r="Z10" s="79">
        <f t="shared" si="0"/>
        <v>0</v>
      </c>
      <c r="AA10" s="79">
        <f t="shared" si="0"/>
        <v>0</v>
      </c>
      <c r="AB10" s="79">
        <f t="shared" si="0"/>
        <v>0</v>
      </c>
      <c r="AC10" s="79">
        <f t="shared" si="0"/>
        <v>0</v>
      </c>
      <c r="AD10" s="79">
        <f t="shared" si="0"/>
        <v>0</v>
      </c>
      <c r="AE10" s="79">
        <f t="shared" si="0"/>
        <v>0</v>
      </c>
      <c r="AF10" s="79">
        <f t="shared" si="0"/>
        <v>0</v>
      </c>
      <c r="AG10" s="79">
        <f t="shared" si="0"/>
        <v>0</v>
      </c>
      <c r="AH10" s="79">
        <f t="shared" si="0"/>
        <v>0</v>
      </c>
      <c r="AI10" s="79">
        <f>IFERROR(AI8/AI9,0)</f>
        <v>0.13413742454080316</v>
      </c>
    </row>
    <row r="11" spans="1:35">
      <c r="A11" s="8"/>
      <c r="B11" s="1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22"/>
      <c r="Q11" s="22"/>
      <c r="R11" s="22"/>
      <c r="S11" s="22"/>
      <c r="T11" s="22"/>
      <c r="AD11" s="34"/>
      <c r="AE11" s="34"/>
      <c r="AF11" s="34"/>
      <c r="AG11" s="34"/>
      <c r="AH11" s="34"/>
      <c r="AI11" s="5"/>
    </row>
    <row r="12" spans="1:35">
      <c r="A12" s="6" t="s">
        <v>82</v>
      </c>
      <c r="B12" s="6" t="s">
        <v>59</v>
      </c>
      <c r="C12" s="26">
        <f t="shared" ref="C12" si="1">IFERROR(C44/C8*1000,0)</f>
        <v>0</v>
      </c>
      <c r="D12" s="26">
        <f t="shared" ref="D12:AH12" si="2">IFERROR(D44/D8*1000,0)</f>
        <v>0</v>
      </c>
      <c r="E12" s="26">
        <f t="shared" si="2"/>
        <v>0</v>
      </c>
      <c r="F12" s="26">
        <f t="shared" si="2"/>
        <v>0</v>
      </c>
      <c r="G12" s="26">
        <f t="shared" si="2"/>
        <v>0</v>
      </c>
      <c r="H12" s="26">
        <f t="shared" si="2"/>
        <v>0</v>
      </c>
      <c r="I12" s="26">
        <f t="shared" si="2"/>
        <v>0</v>
      </c>
      <c r="J12" s="26">
        <f t="shared" si="2"/>
        <v>0</v>
      </c>
      <c r="K12" s="26">
        <f t="shared" si="2"/>
        <v>0</v>
      </c>
      <c r="L12" s="26">
        <f t="shared" si="2"/>
        <v>0</v>
      </c>
      <c r="M12" s="26">
        <f t="shared" si="2"/>
        <v>0</v>
      </c>
      <c r="N12" s="26">
        <f t="shared" si="2"/>
        <v>0</v>
      </c>
      <c r="O12" s="26">
        <f t="shared" si="2"/>
        <v>0</v>
      </c>
      <c r="P12" s="26">
        <f t="shared" si="2"/>
        <v>0</v>
      </c>
      <c r="Q12" s="26">
        <f t="shared" si="2"/>
        <v>0</v>
      </c>
      <c r="R12" s="26">
        <f t="shared" si="2"/>
        <v>0</v>
      </c>
      <c r="S12" s="26">
        <f t="shared" si="2"/>
        <v>0</v>
      </c>
      <c r="T12" s="26">
        <f t="shared" si="2"/>
        <v>0</v>
      </c>
      <c r="U12" s="26">
        <f t="shared" si="2"/>
        <v>0</v>
      </c>
      <c r="V12" s="26">
        <f t="shared" si="2"/>
        <v>0</v>
      </c>
      <c r="W12" s="26">
        <f t="shared" si="2"/>
        <v>0</v>
      </c>
      <c r="X12" s="26">
        <f t="shared" si="2"/>
        <v>0</v>
      </c>
      <c r="Y12" s="26">
        <f t="shared" si="2"/>
        <v>0</v>
      </c>
      <c r="Z12" s="26">
        <f t="shared" si="2"/>
        <v>0</v>
      </c>
      <c r="AA12" s="26">
        <f t="shared" si="2"/>
        <v>0</v>
      </c>
      <c r="AB12" s="26">
        <f t="shared" si="2"/>
        <v>0</v>
      </c>
      <c r="AC12" s="26">
        <f t="shared" si="2"/>
        <v>0</v>
      </c>
      <c r="AD12" s="26">
        <f t="shared" si="2"/>
        <v>0</v>
      </c>
      <c r="AE12" s="26">
        <f t="shared" si="2"/>
        <v>0</v>
      </c>
      <c r="AF12" s="26">
        <f t="shared" si="2"/>
        <v>0</v>
      </c>
      <c r="AG12" s="26">
        <f t="shared" si="2"/>
        <v>0</v>
      </c>
      <c r="AH12" s="26">
        <f t="shared" si="2"/>
        <v>0</v>
      </c>
      <c r="AI12" s="26">
        <f>IFERROR(AI44/AI8,0)</f>
        <v>428.48452826185513</v>
      </c>
    </row>
    <row r="13" spans="1:35">
      <c r="A13" s="16"/>
      <c r="B13" s="16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AD13" s="34"/>
      <c r="AE13" s="34"/>
      <c r="AF13" s="34"/>
      <c r="AG13" s="50"/>
      <c r="AH13" s="50"/>
      <c r="AI13" s="5"/>
    </row>
    <row r="14" spans="1:35">
      <c r="A14" s="16" t="s">
        <v>61</v>
      </c>
      <c r="B14" s="30" t="s">
        <v>4</v>
      </c>
      <c r="C14" s="5">
        <f t="shared" ref="C14" si="3">SUM(C49:C50)</f>
        <v>0</v>
      </c>
      <c r="D14" s="5">
        <f t="shared" ref="D14:AH14" si="4">SUM(D49:D50)</f>
        <v>0</v>
      </c>
      <c r="E14" s="5">
        <f t="shared" si="4"/>
        <v>0</v>
      </c>
      <c r="F14" s="5">
        <f t="shared" si="4"/>
        <v>0</v>
      </c>
      <c r="G14" s="5">
        <f t="shared" si="4"/>
        <v>0</v>
      </c>
      <c r="H14" s="5">
        <f t="shared" si="4"/>
        <v>0</v>
      </c>
      <c r="I14" s="5">
        <f t="shared" si="4"/>
        <v>0</v>
      </c>
      <c r="J14" s="5">
        <f t="shared" si="4"/>
        <v>0</v>
      </c>
      <c r="K14" s="5">
        <f t="shared" si="4"/>
        <v>0</v>
      </c>
      <c r="L14" s="5">
        <f t="shared" si="4"/>
        <v>0</v>
      </c>
      <c r="M14" s="5">
        <f t="shared" si="4"/>
        <v>0</v>
      </c>
      <c r="N14" s="5">
        <f t="shared" si="4"/>
        <v>0</v>
      </c>
      <c r="O14" s="5">
        <f t="shared" si="4"/>
        <v>0</v>
      </c>
      <c r="P14" s="5">
        <f t="shared" si="4"/>
        <v>0</v>
      </c>
      <c r="Q14" s="5">
        <f t="shared" si="4"/>
        <v>0</v>
      </c>
      <c r="R14" s="5">
        <f t="shared" si="4"/>
        <v>0</v>
      </c>
      <c r="S14" s="5">
        <f t="shared" si="4"/>
        <v>0</v>
      </c>
      <c r="T14" s="5">
        <f t="shared" si="4"/>
        <v>0</v>
      </c>
      <c r="U14" s="5">
        <f t="shared" si="4"/>
        <v>0</v>
      </c>
      <c r="V14" s="5">
        <f t="shared" si="4"/>
        <v>0</v>
      </c>
      <c r="W14" s="5">
        <f t="shared" si="4"/>
        <v>0</v>
      </c>
      <c r="X14" s="5">
        <f t="shared" si="4"/>
        <v>0</v>
      </c>
      <c r="Y14" s="5">
        <f t="shared" si="4"/>
        <v>0</v>
      </c>
      <c r="Z14" s="5">
        <f t="shared" si="4"/>
        <v>0</v>
      </c>
      <c r="AA14" s="5">
        <f t="shared" si="4"/>
        <v>0</v>
      </c>
      <c r="AB14" s="5">
        <f t="shared" si="4"/>
        <v>0</v>
      </c>
      <c r="AC14" s="5">
        <f t="shared" si="4"/>
        <v>0</v>
      </c>
      <c r="AD14" s="5">
        <f t="shared" si="4"/>
        <v>0</v>
      </c>
      <c r="AE14" s="5">
        <f t="shared" si="4"/>
        <v>0</v>
      </c>
      <c r="AF14" s="5">
        <f t="shared" si="4"/>
        <v>0</v>
      </c>
      <c r="AG14" s="5">
        <f t="shared" si="4"/>
        <v>0</v>
      </c>
      <c r="AH14" s="5">
        <f t="shared" si="4"/>
        <v>0</v>
      </c>
      <c r="AI14" s="5">
        <f>SUM(AI49:AI50)</f>
        <v>-414978</v>
      </c>
    </row>
    <row r="15" spans="1:35">
      <c r="A15" s="16" t="s">
        <v>164</v>
      </c>
      <c r="B15" s="16" t="s">
        <v>59</v>
      </c>
      <c r="C15" s="5">
        <f>IFERROR(C14/C$8,0)</f>
        <v>0</v>
      </c>
      <c r="D15" s="5">
        <f t="shared" ref="D15:AI15" si="5">IFERROR(D14/D$8,0)</f>
        <v>0</v>
      </c>
      <c r="E15" s="5">
        <f t="shared" si="5"/>
        <v>0</v>
      </c>
      <c r="F15" s="5">
        <f t="shared" si="5"/>
        <v>0</v>
      </c>
      <c r="G15" s="5">
        <f t="shared" si="5"/>
        <v>0</v>
      </c>
      <c r="H15" s="5">
        <f t="shared" si="5"/>
        <v>0</v>
      </c>
      <c r="I15" s="5">
        <f t="shared" si="5"/>
        <v>0</v>
      </c>
      <c r="J15" s="5">
        <f t="shared" si="5"/>
        <v>0</v>
      </c>
      <c r="K15" s="5">
        <f t="shared" si="5"/>
        <v>0</v>
      </c>
      <c r="L15" s="5">
        <f t="shared" si="5"/>
        <v>0</v>
      </c>
      <c r="M15" s="5">
        <f t="shared" si="5"/>
        <v>0</v>
      </c>
      <c r="N15" s="5">
        <f t="shared" si="5"/>
        <v>0</v>
      </c>
      <c r="O15" s="5">
        <f t="shared" si="5"/>
        <v>0</v>
      </c>
      <c r="P15" s="5">
        <f t="shared" si="5"/>
        <v>0</v>
      </c>
      <c r="Q15" s="5">
        <f t="shared" si="5"/>
        <v>0</v>
      </c>
      <c r="R15" s="5">
        <f t="shared" si="5"/>
        <v>0</v>
      </c>
      <c r="S15" s="5">
        <f t="shared" si="5"/>
        <v>0</v>
      </c>
      <c r="T15" s="5">
        <f t="shared" si="5"/>
        <v>0</v>
      </c>
      <c r="U15" s="5">
        <f t="shared" si="5"/>
        <v>0</v>
      </c>
      <c r="V15" s="5">
        <f t="shared" si="5"/>
        <v>0</v>
      </c>
      <c r="W15" s="5">
        <f t="shared" si="5"/>
        <v>0</v>
      </c>
      <c r="X15" s="5">
        <f t="shared" si="5"/>
        <v>0</v>
      </c>
      <c r="Y15" s="5">
        <f t="shared" si="5"/>
        <v>0</v>
      </c>
      <c r="Z15" s="5">
        <f t="shared" si="5"/>
        <v>0</v>
      </c>
      <c r="AA15" s="5">
        <f t="shared" si="5"/>
        <v>0</v>
      </c>
      <c r="AB15" s="5">
        <f t="shared" si="5"/>
        <v>0</v>
      </c>
      <c r="AC15" s="5">
        <f t="shared" si="5"/>
        <v>0</v>
      </c>
      <c r="AD15" s="5">
        <f t="shared" si="5"/>
        <v>0</v>
      </c>
      <c r="AE15" s="5">
        <f t="shared" si="5"/>
        <v>0</v>
      </c>
      <c r="AF15" s="5">
        <f t="shared" si="5"/>
        <v>0</v>
      </c>
      <c r="AG15" s="5">
        <f t="shared" si="5"/>
        <v>0</v>
      </c>
      <c r="AH15" s="5">
        <f t="shared" si="5"/>
        <v>0</v>
      </c>
      <c r="AI15" s="5">
        <f t="shared" si="5"/>
        <v>-200.90940299361168</v>
      </c>
    </row>
    <row r="16" spans="1:35">
      <c r="A16" s="6" t="s">
        <v>165</v>
      </c>
      <c r="B16" s="29" t="s">
        <v>4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>
        <v>-328735.52016660798</v>
      </c>
    </row>
    <row r="17" spans="1:44">
      <c r="A17" s="6" t="s">
        <v>166</v>
      </c>
      <c r="B17" s="6" t="s">
        <v>59</v>
      </c>
      <c r="C17" s="5">
        <f>IFERROR(C16/C$8,0)</f>
        <v>0</v>
      </c>
      <c r="D17" s="5">
        <f t="shared" ref="D17" si="6">IFERROR(D16/D$8,0)</f>
        <v>0</v>
      </c>
      <c r="E17" s="5">
        <f t="shared" ref="E17" si="7">IFERROR(E16/E$8,0)</f>
        <v>0</v>
      </c>
      <c r="F17" s="5">
        <f t="shared" ref="F17" si="8">IFERROR(F16/F$8,0)</f>
        <v>0</v>
      </c>
      <c r="G17" s="5">
        <f t="shared" ref="G17" si="9">IFERROR(G16/G$8,0)</f>
        <v>0</v>
      </c>
      <c r="H17" s="5">
        <f t="shared" ref="H17" si="10">IFERROR(H16/H$8,0)</f>
        <v>0</v>
      </c>
      <c r="I17" s="5">
        <f t="shared" ref="I17" si="11">IFERROR(I16/I$8,0)</f>
        <v>0</v>
      </c>
      <c r="J17" s="5">
        <f t="shared" ref="J17" si="12">IFERROR(J16/J$8,0)</f>
        <v>0</v>
      </c>
      <c r="K17" s="5">
        <f t="shared" ref="K17" si="13">IFERROR(K16/K$8,0)</f>
        <v>0</v>
      </c>
      <c r="L17" s="5">
        <f t="shared" ref="L17" si="14">IFERROR(L16/L$8,0)</f>
        <v>0</v>
      </c>
      <c r="M17" s="5">
        <f t="shared" ref="M17" si="15">IFERROR(M16/M$8,0)</f>
        <v>0</v>
      </c>
      <c r="N17" s="5">
        <f t="shared" ref="N17" si="16">IFERROR(N16/N$8,0)</f>
        <v>0</v>
      </c>
      <c r="O17" s="5">
        <f t="shared" ref="O17" si="17">IFERROR(O16/O$8,0)</f>
        <v>0</v>
      </c>
      <c r="P17" s="5">
        <f t="shared" ref="P17" si="18">IFERROR(P16/P$8,0)</f>
        <v>0</v>
      </c>
      <c r="Q17" s="5">
        <f t="shared" ref="Q17" si="19">IFERROR(Q16/Q$8,0)</f>
        <v>0</v>
      </c>
      <c r="R17" s="5">
        <f t="shared" ref="R17" si="20">IFERROR(R16/R$8,0)</f>
        <v>0</v>
      </c>
      <c r="S17" s="5">
        <f t="shared" ref="S17" si="21">IFERROR(S16/S$8,0)</f>
        <v>0</v>
      </c>
      <c r="T17" s="5">
        <f t="shared" ref="T17" si="22">IFERROR(T16/T$8,0)</f>
        <v>0</v>
      </c>
      <c r="U17" s="5">
        <f t="shared" ref="U17" si="23">IFERROR(U16/U$8,0)</f>
        <v>0</v>
      </c>
      <c r="V17" s="5">
        <f t="shared" ref="V17" si="24">IFERROR(V16/V$8,0)</f>
        <v>0</v>
      </c>
      <c r="W17" s="5">
        <f t="shared" ref="W17" si="25">IFERROR(W16/W$8,0)</f>
        <v>0</v>
      </c>
      <c r="X17" s="5">
        <f t="shared" ref="X17" si="26">IFERROR(X16/X$8,0)</f>
        <v>0</v>
      </c>
      <c r="Y17" s="5">
        <f t="shared" ref="Y17" si="27">IFERROR(Y16/Y$8,0)</f>
        <v>0</v>
      </c>
      <c r="Z17" s="5">
        <f t="shared" ref="Z17" si="28">IFERROR(Z16/Z$8,0)</f>
        <v>0</v>
      </c>
      <c r="AA17" s="5">
        <f t="shared" ref="AA17" si="29">IFERROR(AA16/AA$8,0)</f>
        <v>0</v>
      </c>
      <c r="AB17" s="5">
        <f t="shared" ref="AB17" si="30">IFERROR(AB16/AB$8,0)</f>
        <v>0</v>
      </c>
      <c r="AC17" s="5">
        <f t="shared" ref="AC17" si="31">IFERROR(AC16/AC$8,0)</f>
        <v>0</v>
      </c>
      <c r="AD17" s="5">
        <f t="shared" ref="AD17" si="32">IFERROR(AD16/AD$8,0)</f>
        <v>0</v>
      </c>
      <c r="AE17" s="5">
        <f t="shared" ref="AE17" si="33">IFERROR(AE16/AE$8,0)</f>
        <v>0</v>
      </c>
      <c r="AF17" s="5">
        <f t="shared" ref="AF17" si="34">IFERROR(AF16/AF$8,0)</f>
        <v>0</v>
      </c>
      <c r="AG17" s="5">
        <f t="shared" ref="AG17" si="35">IFERROR(AG16/AG$8,0)</f>
        <v>0</v>
      </c>
      <c r="AH17" s="5">
        <f t="shared" ref="AH17" si="36">IFERROR(AH16/AH$8,0)</f>
        <v>0</v>
      </c>
      <c r="AI17" s="5">
        <f t="shared" ref="AI17" si="37">IFERROR(AI16/AI$8,0)</f>
        <v>-159.15556270324598</v>
      </c>
    </row>
    <row r="18" spans="1:44">
      <c r="A18" s="6" t="s">
        <v>167</v>
      </c>
      <c r="B18" s="29" t="s">
        <v>4</v>
      </c>
      <c r="C18" s="7">
        <f>C48+C16</f>
        <v>0</v>
      </c>
      <c r="D18" s="7">
        <f t="shared" ref="D18:AI18" si="38">D48+D16</f>
        <v>0</v>
      </c>
      <c r="E18" s="7">
        <f t="shared" si="38"/>
        <v>0</v>
      </c>
      <c r="F18" s="7">
        <f t="shared" si="38"/>
        <v>0</v>
      </c>
      <c r="G18" s="7">
        <f t="shared" si="38"/>
        <v>0</v>
      </c>
      <c r="H18" s="7">
        <f t="shared" si="38"/>
        <v>0</v>
      </c>
      <c r="I18" s="7">
        <f t="shared" si="38"/>
        <v>0</v>
      </c>
      <c r="J18" s="7">
        <f t="shared" si="38"/>
        <v>0</v>
      </c>
      <c r="K18" s="7">
        <f t="shared" si="38"/>
        <v>0</v>
      </c>
      <c r="L18" s="7">
        <f t="shared" si="38"/>
        <v>0</v>
      </c>
      <c r="M18" s="7">
        <f t="shared" si="38"/>
        <v>0</v>
      </c>
      <c r="N18" s="7">
        <f t="shared" si="38"/>
        <v>0</v>
      </c>
      <c r="O18" s="7">
        <f t="shared" si="38"/>
        <v>0</v>
      </c>
      <c r="P18" s="7">
        <f t="shared" si="38"/>
        <v>0</v>
      </c>
      <c r="Q18" s="7">
        <f t="shared" si="38"/>
        <v>0</v>
      </c>
      <c r="R18" s="7">
        <f t="shared" si="38"/>
        <v>0</v>
      </c>
      <c r="S18" s="7">
        <f t="shared" si="38"/>
        <v>0</v>
      </c>
      <c r="T18" s="7">
        <f t="shared" si="38"/>
        <v>0</v>
      </c>
      <c r="U18" s="7">
        <f t="shared" si="38"/>
        <v>0</v>
      </c>
      <c r="V18" s="7">
        <f t="shared" si="38"/>
        <v>0</v>
      </c>
      <c r="W18" s="7">
        <f t="shared" si="38"/>
        <v>0</v>
      </c>
      <c r="X18" s="7">
        <f t="shared" si="38"/>
        <v>0</v>
      </c>
      <c r="Y18" s="7">
        <f t="shared" si="38"/>
        <v>0</v>
      </c>
      <c r="Z18" s="7">
        <f t="shared" si="38"/>
        <v>0</v>
      </c>
      <c r="AA18" s="7">
        <f t="shared" si="38"/>
        <v>0</v>
      </c>
      <c r="AB18" s="7">
        <f t="shared" si="38"/>
        <v>0</v>
      </c>
      <c r="AC18" s="7">
        <f t="shared" si="38"/>
        <v>0</v>
      </c>
      <c r="AD18" s="7">
        <f t="shared" si="38"/>
        <v>0</v>
      </c>
      <c r="AE18" s="7">
        <f t="shared" si="38"/>
        <v>0</v>
      </c>
      <c r="AF18" s="7">
        <f t="shared" si="38"/>
        <v>0</v>
      </c>
      <c r="AG18" s="7">
        <f t="shared" si="38"/>
        <v>0</v>
      </c>
      <c r="AH18" s="7">
        <f t="shared" si="38"/>
        <v>0</v>
      </c>
      <c r="AI18" s="7">
        <f t="shared" si="38"/>
        <v>365310.47983339202</v>
      </c>
    </row>
    <row r="19" spans="1:44">
      <c r="A19" s="10" t="s">
        <v>68</v>
      </c>
      <c r="B19" s="27" t="s">
        <v>5</v>
      </c>
      <c r="C19" s="27">
        <f t="shared" ref="C19:AH19" si="39">IFERROR(C16/C48,0)</f>
        <v>0</v>
      </c>
      <c r="D19" s="27">
        <f t="shared" si="39"/>
        <v>0</v>
      </c>
      <c r="E19" s="27">
        <f t="shared" si="39"/>
        <v>0</v>
      </c>
      <c r="F19" s="27">
        <f t="shared" si="39"/>
        <v>0</v>
      </c>
      <c r="G19" s="27">
        <f t="shared" si="39"/>
        <v>0</v>
      </c>
      <c r="H19" s="27">
        <f t="shared" si="39"/>
        <v>0</v>
      </c>
      <c r="I19" s="27">
        <f t="shared" si="39"/>
        <v>0</v>
      </c>
      <c r="J19" s="27">
        <f t="shared" si="39"/>
        <v>0</v>
      </c>
      <c r="K19" s="27">
        <f t="shared" si="39"/>
        <v>0</v>
      </c>
      <c r="L19" s="27">
        <f t="shared" si="39"/>
        <v>0</v>
      </c>
      <c r="M19" s="27">
        <f t="shared" si="39"/>
        <v>0</v>
      </c>
      <c r="N19" s="27">
        <f t="shared" si="39"/>
        <v>0</v>
      </c>
      <c r="O19" s="27">
        <f t="shared" si="39"/>
        <v>0</v>
      </c>
      <c r="P19" s="27">
        <f t="shared" si="39"/>
        <v>0</v>
      </c>
      <c r="Q19" s="27">
        <f t="shared" si="39"/>
        <v>0</v>
      </c>
      <c r="R19" s="27">
        <f t="shared" si="39"/>
        <v>0</v>
      </c>
      <c r="S19" s="27">
        <f t="shared" si="39"/>
        <v>0</v>
      </c>
      <c r="T19" s="27">
        <f t="shared" si="39"/>
        <v>0</v>
      </c>
      <c r="U19" s="27">
        <f t="shared" si="39"/>
        <v>0</v>
      </c>
      <c r="V19" s="27">
        <f t="shared" si="39"/>
        <v>0</v>
      </c>
      <c r="W19" s="27">
        <f t="shared" si="39"/>
        <v>0</v>
      </c>
      <c r="X19" s="27">
        <f t="shared" si="39"/>
        <v>0</v>
      </c>
      <c r="Y19" s="27">
        <f t="shared" si="39"/>
        <v>0</v>
      </c>
      <c r="Z19" s="27">
        <f t="shared" si="39"/>
        <v>0</v>
      </c>
      <c r="AA19" s="27">
        <f t="shared" si="39"/>
        <v>0</v>
      </c>
      <c r="AB19" s="27">
        <f t="shared" si="39"/>
        <v>0</v>
      </c>
      <c r="AC19" s="27">
        <f t="shared" si="39"/>
        <v>0</v>
      </c>
      <c r="AD19" s="27">
        <f t="shared" si="39"/>
        <v>0</v>
      </c>
      <c r="AE19" s="27">
        <f t="shared" si="39"/>
        <v>0</v>
      </c>
      <c r="AF19" s="27">
        <f t="shared" si="39"/>
        <v>0</v>
      </c>
      <c r="AG19" s="27">
        <f t="shared" si="39"/>
        <v>0</v>
      </c>
      <c r="AH19" s="27">
        <f t="shared" si="39"/>
        <v>0</v>
      </c>
      <c r="AI19" s="27">
        <f>IFERROR(AI16/AI48,0)</f>
        <v>-0.47365091098660317</v>
      </c>
    </row>
    <row r="20" spans="1:44">
      <c r="A20" s="10"/>
      <c r="B20" s="27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AD20" s="34"/>
      <c r="AE20" s="34"/>
      <c r="AF20" s="34"/>
      <c r="AG20" s="50"/>
      <c r="AH20" s="50"/>
      <c r="AI20" s="5"/>
    </row>
    <row r="21" spans="1:44">
      <c r="A21" s="6" t="s">
        <v>67</v>
      </c>
      <c r="B21" s="29" t="s">
        <v>4</v>
      </c>
      <c r="C21" s="7">
        <f t="shared" ref="C21" si="40">SUM(C54:C55)</f>
        <v>0</v>
      </c>
      <c r="D21" s="7">
        <f t="shared" ref="D21:AH21" si="41">SUM(D54:D55)</f>
        <v>0</v>
      </c>
      <c r="E21" s="7">
        <f t="shared" si="41"/>
        <v>0</v>
      </c>
      <c r="F21" s="7">
        <f t="shared" si="41"/>
        <v>0</v>
      </c>
      <c r="G21" s="7">
        <f t="shared" si="41"/>
        <v>0</v>
      </c>
      <c r="H21" s="7">
        <f t="shared" si="41"/>
        <v>0</v>
      </c>
      <c r="I21" s="7">
        <f t="shared" si="41"/>
        <v>0</v>
      </c>
      <c r="J21" s="7">
        <f t="shared" si="41"/>
        <v>0</v>
      </c>
      <c r="K21" s="7">
        <f t="shared" si="41"/>
        <v>0</v>
      </c>
      <c r="L21" s="7">
        <f t="shared" si="41"/>
        <v>0</v>
      </c>
      <c r="M21" s="7">
        <f t="shared" si="41"/>
        <v>0</v>
      </c>
      <c r="N21" s="7">
        <f t="shared" si="41"/>
        <v>0</v>
      </c>
      <c r="O21" s="7">
        <f t="shared" si="41"/>
        <v>0</v>
      </c>
      <c r="P21" s="7">
        <f t="shared" si="41"/>
        <v>0</v>
      </c>
      <c r="Q21" s="7">
        <f t="shared" si="41"/>
        <v>0</v>
      </c>
      <c r="R21" s="7">
        <f t="shared" si="41"/>
        <v>0</v>
      </c>
      <c r="S21" s="7">
        <f t="shared" si="41"/>
        <v>0</v>
      </c>
      <c r="T21" s="7">
        <f t="shared" si="41"/>
        <v>0</v>
      </c>
      <c r="U21" s="7">
        <f t="shared" si="41"/>
        <v>0</v>
      </c>
      <c r="V21" s="7">
        <f t="shared" si="41"/>
        <v>0</v>
      </c>
      <c r="W21" s="7">
        <f t="shared" si="41"/>
        <v>0</v>
      </c>
      <c r="X21" s="7">
        <f t="shared" si="41"/>
        <v>0</v>
      </c>
      <c r="Y21" s="7">
        <f t="shared" si="41"/>
        <v>0</v>
      </c>
      <c r="Z21" s="7">
        <f t="shared" si="41"/>
        <v>0</v>
      </c>
      <c r="AA21" s="7">
        <f t="shared" si="41"/>
        <v>0</v>
      </c>
      <c r="AB21" s="7">
        <f t="shared" si="41"/>
        <v>0</v>
      </c>
      <c r="AC21" s="7">
        <f t="shared" si="41"/>
        <v>0</v>
      </c>
      <c r="AD21" s="7">
        <f t="shared" si="41"/>
        <v>0</v>
      </c>
      <c r="AE21" s="7">
        <f t="shared" si="41"/>
        <v>0</v>
      </c>
      <c r="AF21" s="7">
        <f t="shared" si="41"/>
        <v>0</v>
      </c>
      <c r="AG21" s="7">
        <f t="shared" si="41"/>
        <v>0</v>
      </c>
      <c r="AH21" s="7">
        <f t="shared" si="41"/>
        <v>0</v>
      </c>
      <c r="AI21" s="7">
        <f>SUM(AI54:AI55)</f>
        <v>-51157</v>
      </c>
    </row>
    <row r="22" spans="1:44">
      <c r="A22" s="10" t="s">
        <v>70</v>
      </c>
      <c r="B22" s="16" t="s">
        <v>5</v>
      </c>
      <c r="C22" s="27">
        <f t="shared" ref="C22:AH22" si="42">IFERROR(C21/$C$48,0)</f>
        <v>0</v>
      </c>
      <c r="D22" s="27">
        <f t="shared" si="42"/>
        <v>0</v>
      </c>
      <c r="E22" s="27">
        <f t="shared" si="42"/>
        <v>0</v>
      </c>
      <c r="F22" s="27">
        <f t="shared" si="42"/>
        <v>0</v>
      </c>
      <c r="G22" s="27">
        <f t="shared" si="42"/>
        <v>0</v>
      </c>
      <c r="H22" s="27">
        <f t="shared" si="42"/>
        <v>0</v>
      </c>
      <c r="I22" s="27">
        <f t="shared" si="42"/>
        <v>0</v>
      </c>
      <c r="J22" s="27">
        <f t="shared" si="42"/>
        <v>0</v>
      </c>
      <c r="K22" s="27">
        <f t="shared" si="42"/>
        <v>0</v>
      </c>
      <c r="L22" s="27">
        <f t="shared" si="42"/>
        <v>0</v>
      </c>
      <c r="M22" s="27">
        <f t="shared" si="42"/>
        <v>0</v>
      </c>
      <c r="N22" s="27">
        <f t="shared" si="42"/>
        <v>0</v>
      </c>
      <c r="O22" s="27">
        <f t="shared" si="42"/>
        <v>0</v>
      </c>
      <c r="P22" s="27">
        <f t="shared" si="42"/>
        <v>0</v>
      </c>
      <c r="Q22" s="27">
        <f t="shared" si="42"/>
        <v>0</v>
      </c>
      <c r="R22" s="27">
        <f t="shared" si="42"/>
        <v>0</v>
      </c>
      <c r="S22" s="27">
        <f t="shared" si="42"/>
        <v>0</v>
      </c>
      <c r="T22" s="27">
        <f t="shared" si="42"/>
        <v>0</v>
      </c>
      <c r="U22" s="27">
        <f t="shared" si="42"/>
        <v>0</v>
      </c>
      <c r="V22" s="27">
        <f t="shared" si="42"/>
        <v>0</v>
      </c>
      <c r="W22" s="27">
        <f t="shared" si="42"/>
        <v>0</v>
      </c>
      <c r="X22" s="27">
        <f t="shared" si="42"/>
        <v>0</v>
      </c>
      <c r="Y22" s="27">
        <f t="shared" si="42"/>
        <v>0</v>
      </c>
      <c r="Z22" s="27">
        <f t="shared" si="42"/>
        <v>0</v>
      </c>
      <c r="AA22" s="27">
        <f t="shared" si="42"/>
        <v>0</v>
      </c>
      <c r="AB22" s="27">
        <f t="shared" si="42"/>
        <v>0</v>
      </c>
      <c r="AC22" s="27">
        <f t="shared" si="42"/>
        <v>0</v>
      </c>
      <c r="AD22" s="27">
        <f t="shared" si="42"/>
        <v>0</v>
      </c>
      <c r="AE22" s="27">
        <f t="shared" si="42"/>
        <v>0</v>
      </c>
      <c r="AF22" s="27">
        <f t="shared" si="42"/>
        <v>0</v>
      </c>
      <c r="AG22" s="27">
        <f t="shared" si="42"/>
        <v>0</v>
      </c>
      <c r="AH22" s="27">
        <f t="shared" si="42"/>
        <v>0</v>
      </c>
      <c r="AI22" s="95">
        <f>IFERROR(AI21/$C$48,0)</f>
        <v>0</v>
      </c>
    </row>
    <row r="23" spans="1:44">
      <c r="A23" s="6" t="s">
        <v>69</v>
      </c>
      <c r="B23" s="29" t="s">
        <v>4</v>
      </c>
      <c r="C23" s="7">
        <f t="shared" ref="C23" si="43">C54</f>
        <v>0</v>
      </c>
      <c r="D23" s="7">
        <f t="shared" ref="D23:AH23" si="44">D54</f>
        <v>0</v>
      </c>
      <c r="E23" s="7">
        <f t="shared" si="44"/>
        <v>0</v>
      </c>
      <c r="F23" s="7">
        <f t="shared" si="44"/>
        <v>0</v>
      </c>
      <c r="G23" s="7">
        <f t="shared" si="44"/>
        <v>0</v>
      </c>
      <c r="H23" s="7">
        <f t="shared" si="44"/>
        <v>0</v>
      </c>
      <c r="I23" s="7">
        <f t="shared" si="44"/>
        <v>0</v>
      </c>
      <c r="J23" s="7">
        <f t="shared" si="44"/>
        <v>0</v>
      </c>
      <c r="K23" s="7">
        <f t="shared" si="44"/>
        <v>0</v>
      </c>
      <c r="L23" s="7">
        <f t="shared" si="44"/>
        <v>0</v>
      </c>
      <c r="M23" s="7">
        <f t="shared" si="44"/>
        <v>0</v>
      </c>
      <c r="N23" s="7">
        <f t="shared" si="44"/>
        <v>0</v>
      </c>
      <c r="O23" s="7">
        <f t="shared" si="44"/>
        <v>0</v>
      </c>
      <c r="P23" s="7">
        <f t="shared" si="44"/>
        <v>0</v>
      </c>
      <c r="Q23" s="7">
        <f t="shared" si="44"/>
        <v>0</v>
      </c>
      <c r="R23" s="7">
        <f t="shared" si="44"/>
        <v>0</v>
      </c>
      <c r="S23" s="7">
        <f t="shared" si="44"/>
        <v>0</v>
      </c>
      <c r="T23" s="7">
        <f t="shared" si="44"/>
        <v>0</v>
      </c>
      <c r="U23" s="7">
        <f t="shared" si="44"/>
        <v>0</v>
      </c>
      <c r="V23" s="7">
        <f t="shared" si="44"/>
        <v>0</v>
      </c>
      <c r="W23" s="7">
        <f t="shared" si="44"/>
        <v>0</v>
      </c>
      <c r="X23" s="7">
        <f t="shared" si="44"/>
        <v>0</v>
      </c>
      <c r="Y23" s="7">
        <f t="shared" si="44"/>
        <v>0</v>
      </c>
      <c r="Z23" s="7">
        <f t="shared" si="44"/>
        <v>0</v>
      </c>
      <c r="AA23" s="7">
        <f t="shared" si="44"/>
        <v>0</v>
      </c>
      <c r="AB23" s="7">
        <f t="shared" si="44"/>
        <v>0</v>
      </c>
      <c r="AC23" s="7">
        <f t="shared" si="44"/>
        <v>0</v>
      </c>
      <c r="AD23" s="7">
        <f t="shared" si="44"/>
        <v>0</v>
      </c>
      <c r="AE23" s="7">
        <f t="shared" si="44"/>
        <v>0</v>
      </c>
      <c r="AF23" s="7">
        <f t="shared" si="44"/>
        <v>0</v>
      </c>
      <c r="AG23" s="7">
        <f t="shared" si="44"/>
        <v>0</v>
      </c>
      <c r="AH23" s="7">
        <f t="shared" si="44"/>
        <v>0</v>
      </c>
      <c r="AI23" s="7">
        <f>AI54</f>
        <v>-51157</v>
      </c>
    </row>
    <row r="24" spans="1:44">
      <c r="A24" s="10" t="s">
        <v>70</v>
      </c>
      <c r="B24" s="16" t="s">
        <v>5</v>
      </c>
      <c r="C24" s="27">
        <f t="shared" ref="C24:AH24" si="45">IFERROR(C23/$C$48,0)</f>
        <v>0</v>
      </c>
      <c r="D24" s="27">
        <f t="shared" si="45"/>
        <v>0</v>
      </c>
      <c r="E24" s="27">
        <f t="shared" si="45"/>
        <v>0</v>
      </c>
      <c r="F24" s="27">
        <f t="shared" si="45"/>
        <v>0</v>
      </c>
      <c r="G24" s="27">
        <f t="shared" si="45"/>
        <v>0</v>
      </c>
      <c r="H24" s="27">
        <f t="shared" si="45"/>
        <v>0</v>
      </c>
      <c r="I24" s="27">
        <f t="shared" si="45"/>
        <v>0</v>
      </c>
      <c r="J24" s="27">
        <f t="shared" si="45"/>
        <v>0</v>
      </c>
      <c r="K24" s="27">
        <f t="shared" si="45"/>
        <v>0</v>
      </c>
      <c r="L24" s="27">
        <f t="shared" si="45"/>
        <v>0</v>
      </c>
      <c r="M24" s="27">
        <f t="shared" si="45"/>
        <v>0</v>
      </c>
      <c r="N24" s="27">
        <f t="shared" si="45"/>
        <v>0</v>
      </c>
      <c r="O24" s="27">
        <f t="shared" si="45"/>
        <v>0</v>
      </c>
      <c r="P24" s="27">
        <f t="shared" si="45"/>
        <v>0</v>
      </c>
      <c r="Q24" s="27">
        <f t="shared" si="45"/>
        <v>0</v>
      </c>
      <c r="R24" s="27">
        <f t="shared" si="45"/>
        <v>0</v>
      </c>
      <c r="S24" s="27">
        <f t="shared" si="45"/>
        <v>0</v>
      </c>
      <c r="T24" s="27">
        <f t="shared" si="45"/>
        <v>0</v>
      </c>
      <c r="U24" s="27">
        <f t="shared" si="45"/>
        <v>0</v>
      </c>
      <c r="V24" s="27">
        <f t="shared" si="45"/>
        <v>0</v>
      </c>
      <c r="W24" s="27">
        <f t="shared" si="45"/>
        <v>0</v>
      </c>
      <c r="X24" s="27">
        <f t="shared" si="45"/>
        <v>0</v>
      </c>
      <c r="Y24" s="27">
        <f t="shared" si="45"/>
        <v>0</v>
      </c>
      <c r="Z24" s="27">
        <f t="shared" si="45"/>
        <v>0</v>
      </c>
      <c r="AA24" s="27">
        <f t="shared" si="45"/>
        <v>0</v>
      </c>
      <c r="AB24" s="27">
        <f t="shared" si="45"/>
        <v>0</v>
      </c>
      <c r="AC24" s="27">
        <f t="shared" si="45"/>
        <v>0</v>
      </c>
      <c r="AD24" s="27">
        <f t="shared" si="45"/>
        <v>0</v>
      </c>
      <c r="AE24" s="27">
        <f t="shared" si="45"/>
        <v>0</v>
      </c>
      <c r="AF24" s="27">
        <f t="shared" si="45"/>
        <v>0</v>
      </c>
      <c r="AG24" s="27">
        <f t="shared" si="45"/>
        <v>0</v>
      </c>
      <c r="AH24" s="27">
        <f t="shared" si="45"/>
        <v>0</v>
      </c>
      <c r="AI24" s="27">
        <f>IFERROR(AI23/$C$48,0)</f>
        <v>0</v>
      </c>
    </row>
    <row r="25" spans="1:44">
      <c r="A25" s="16"/>
      <c r="B25" s="1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AD25" s="34"/>
      <c r="AE25" s="34"/>
      <c r="AF25" s="34"/>
      <c r="AG25" s="50"/>
      <c r="AH25" s="50"/>
      <c r="AI25" s="5"/>
    </row>
    <row r="26" spans="1:44">
      <c r="A26" s="16" t="s">
        <v>32</v>
      </c>
      <c r="B26" s="30" t="s">
        <v>4</v>
      </c>
      <c r="C26" s="80">
        <f t="shared" ref="C26" si="46">C48+C14+C21+C59</f>
        <v>0</v>
      </c>
      <c r="D26" s="80">
        <f t="shared" ref="D26:AH26" si="47">D48+D14+D21+D59</f>
        <v>0</v>
      </c>
      <c r="E26" s="80">
        <f t="shared" si="47"/>
        <v>0</v>
      </c>
      <c r="F26" s="80">
        <f t="shared" si="47"/>
        <v>0</v>
      </c>
      <c r="G26" s="80">
        <f t="shared" si="47"/>
        <v>0</v>
      </c>
      <c r="H26" s="80">
        <f t="shared" si="47"/>
        <v>0</v>
      </c>
      <c r="I26" s="80">
        <f t="shared" si="47"/>
        <v>0</v>
      </c>
      <c r="J26" s="80">
        <f t="shared" si="47"/>
        <v>0</v>
      </c>
      <c r="K26" s="80">
        <f t="shared" si="47"/>
        <v>0</v>
      </c>
      <c r="L26" s="80">
        <f t="shared" si="47"/>
        <v>0</v>
      </c>
      <c r="M26" s="80">
        <f t="shared" si="47"/>
        <v>0</v>
      </c>
      <c r="N26" s="80">
        <f t="shared" si="47"/>
        <v>0</v>
      </c>
      <c r="O26" s="80">
        <f t="shared" si="47"/>
        <v>0</v>
      </c>
      <c r="P26" s="80">
        <f t="shared" si="47"/>
        <v>0</v>
      </c>
      <c r="Q26" s="80">
        <f t="shared" si="47"/>
        <v>0</v>
      </c>
      <c r="R26" s="80">
        <f t="shared" si="47"/>
        <v>0</v>
      </c>
      <c r="S26" s="80">
        <f t="shared" si="47"/>
        <v>0</v>
      </c>
      <c r="T26" s="80">
        <f t="shared" si="47"/>
        <v>0</v>
      </c>
      <c r="U26" s="80">
        <f t="shared" si="47"/>
        <v>0</v>
      </c>
      <c r="V26" s="80">
        <f t="shared" si="47"/>
        <v>0</v>
      </c>
      <c r="W26" s="80">
        <f t="shared" si="47"/>
        <v>0</v>
      </c>
      <c r="X26" s="80">
        <f t="shared" si="47"/>
        <v>0</v>
      </c>
      <c r="Y26" s="80">
        <f t="shared" si="47"/>
        <v>0</v>
      </c>
      <c r="Z26" s="80">
        <f t="shared" si="47"/>
        <v>0</v>
      </c>
      <c r="AA26" s="80">
        <f t="shared" si="47"/>
        <v>0</v>
      </c>
      <c r="AB26" s="80">
        <f t="shared" si="47"/>
        <v>0</v>
      </c>
      <c r="AC26" s="80">
        <f t="shared" si="47"/>
        <v>0</v>
      </c>
      <c r="AD26" s="80">
        <f t="shared" si="47"/>
        <v>0</v>
      </c>
      <c r="AE26" s="80">
        <f t="shared" si="47"/>
        <v>0</v>
      </c>
      <c r="AF26" s="80">
        <f t="shared" si="47"/>
        <v>0</v>
      </c>
      <c r="AG26" s="80">
        <f t="shared" si="47"/>
        <v>0</v>
      </c>
      <c r="AH26" s="80">
        <f t="shared" si="47"/>
        <v>0</v>
      </c>
      <c r="AI26" s="80">
        <f>AI48+AI14+AI21+AI59</f>
        <v>248312</v>
      </c>
      <c r="AJ26" s="36"/>
      <c r="AK26" s="36"/>
      <c r="AL26" s="36"/>
      <c r="AM26" s="36"/>
      <c r="AN26" s="36"/>
    </row>
    <row r="27" spans="1:44">
      <c r="A27" s="10" t="s">
        <v>33</v>
      </c>
      <c r="B27" s="16" t="s">
        <v>5</v>
      </c>
      <c r="C27" s="81">
        <f t="shared" ref="C27:AH27" si="48">IFERROR(C26/C48,0)</f>
        <v>0</v>
      </c>
      <c r="D27" s="81">
        <f t="shared" si="48"/>
        <v>0</v>
      </c>
      <c r="E27" s="81">
        <f t="shared" si="48"/>
        <v>0</v>
      </c>
      <c r="F27" s="81">
        <f t="shared" si="48"/>
        <v>0</v>
      </c>
      <c r="G27" s="81">
        <f t="shared" si="48"/>
        <v>0</v>
      </c>
      <c r="H27" s="81">
        <f t="shared" si="48"/>
        <v>0</v>
      </c>
      <c r="I27" s="81">
        <f t="shared" si="48"/>
        <v>0</v>
      </c>
      <c r="J27" s="81">
        <f t="shared" si="48"/>
        <v>0</v>
      </c>
      <c r="K27" s="81">
        <f t="shared" si="48"/>
        <v>0</v>
      </c>
      <c r="L27" s="81">
        <f t="shared" si="48"/>
        <v>0</v>
      </c>
      <c r="M27" s="81">
        <f t="shared" si="48"/>
        <v>0</v>
      </c>
      <c r="N27" s="81">
        <f t="shared" si="48"/>
        <v>0</v>
      </c>
      <c r="O27" s="81">
        <f t="shared" si="48"/>
        <v>0</v>
      </c>
      <c r="P27" s="81">
        <f t="shared" si="48"/>
        <v>0</v>
      </c>
      <c r="Q27" s="81">
        <f t="shared" si="48"/>
        <v>0</v>
      </c>
      <c r="R27" s="81">
        <f t="shared" si="48"/>
        <v>0</v>
      </c>
      <c r="S27" s="81">
        <f t="shared" si="48"/>
        <v>0</v>
      </c>
      <c r="T27" s="81">
        <f t="shared" si="48"/>
        <v>0</v>
      </c>
      <c r="U27" s="81">
        <f t="shared" si="48"/>
        <v>0</v>
      </c>
      <c r="V27" s="81">
        <f t="shared" si="48"/>
        <v>0</v>
      </c>
      <c r="W27" s="81">
        <f t="shared" si="48"/>
        <v>0</v>
      </c>
      <c r="X27" s="81">
        <f t="shared" si="48"/>
        <v>0</v>
      </c>
      <c r="Y27" s="81">
        <f t="shared" si="48"/>
        <v>0</v>
      </c>
      <c r="Z27" s="81">
        <f t="shared" si="48"/>
        <v>0</v>
      </c>
      <c r="AA27" s="81">
        <f t="shared" si="48"/>
        <v>0</v>
      </c>
      <c r="AB27" s="81">
        <f t="shared" si="48"/>
        <v>0</v>
      </c>
      <c r="AC27" s="81">
        <f t="shared" si="48"/>
        <v>0</v>
      </c>
      <c r="AD27" s="81">
        <f t="shared" si="48"/>
        <v>0</v>
      </c>
      <c r="AE27" s="81">
        <f t="shared" si="48"/>
        <v>0</v>
      </c>
      <c r="AF27" s="81">
        <f t="shared" si="48"/>
        <v>0</v>
      </c>
      <c r="AG27" s="81">
        <f t="shared" si="48"/>
        <v>0</v>
      </c>
      <c r="AH27" s="81">
        <f t="shared" si="48"/>
        <v>0</v>
      </c>
      <c r="AI27" s="81">
        <f>IFERROR(AI26/$C$48,0)</f>
        <v>0</v>
      </c>
      <c r="AJ27" s="36"/>
      <c r="AK27" s="36"/>
      <c r="AL27" s="36"/>
      <c r="AM27" s="36"/>
      <c r="AN27" s="36"/>
    </row>
    <row r="28" spans="1:44" s="31" customFormat="1">
      <c r="A28" s="30" t="s">
        <v>62</v>
      </c>
      <c r="B28" s="30" t="s">
        <v>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>
        <v>3759.1089400000001</v>
      </c>
      <c r="AJ28" s="36"/>
      <c r="AK28" s="36"/>
      <c r="AL28" s="36"/>
      <c r="AM28" s="36"/>
      <c r="AN28" s="36"/>
      <c r="AO28" s="35"/>
      <c r="AP28" s="35"/>
      <c r="AQ28" s="35"/>
      <c r="AR28" s="35"/>
    </row>
    <row r="29" spans="1:44" s="31" customFormat="1">
      <c r="A29" s="6" t="s">
        <v>63</v>
      </c>
      <c r="B29" s="29" t="s">
        <v>4</v>
      </c>
      <c r="C29" s="33">
        <f t="shared" ref="C29:AH29" si="49">C26+C28</f>
        <v>0</v>
      </c>
      <c r="D29" s="33">
        <f t="shared" si="49"/>
        <v>0</v>
      </c>
      <c r="E29" s="33">
        <f t="shared" si="49"/>
        <v>0</v>
      </c>
      <c r="F29" s="33">
        <f t="shared" si="49"/>
        <v>0</v>
      </c>
      <c r="G29" s="33">
        <f t="shared" si="49"/>
        <v>0</v>
      </c>
      <c r="H29" s="33">
        <f t="shared" si="49"/>
        <v>0</v>
      </c>
      <c r="I29" s="33">
        <f t="shared" si="49"/>
        <v>0</v>
      </c>
      <c r="J29" s="33">
        <f t="shared" si="49"/>
        <v>0</v>
      </c>
      <c r="K29" s="33">
        <f t="shared" si="49"/>
        <v>0</v>
      </c>
      <c r="L29" s="33">
        <f t="shared" si="49"/>
        <v>0</v>
      </c>
      <c r="M29" s="33">
        <f t="shared" si="49"/>
        <v>0</v>
      </c>
      <c r="N29" s="33">
        <f t="shared" si="49"/>
        <v>0</v>
      </c>
      <c r="O29" s="33">
        <f t="shared" si="49"/>
        <v>0</v>
      </c>
      <c r="P29" s="33">
        <f t="shared" si="49"/>
        <v>0</v>
      </c>
      <c r="Q29" s="33">
        <f t="shared" si="49"/>
        <v>0</v>
      </c>
      <c r="R29" s="33">
        <f t="shared" si="49"/>
        <v>0</v>
      </c>
      <c r="S29" s="33">
        <f t="shared" si="49"/>
        <v>0</v>
      </c>
      <c r="T29" s="33">
        <f t="shared" si="49"/>
        <v>0</v>
      </c>
      <c r="U29" s="33">
        <f t="shared" si="49"/>
        <v>0</v>
      </c>
      <c r="V29" s="33">
        <f t="shared" si="49"/>
        <v>0</v>
      </c>
      <c r="W29" s="33">
        <f t="shared" si="49"/>
        <v>0</v>
      </c>
      <c r="X29" s="33">
        <f t="shared" si="49"/>
        <v>0</v>
      </c>
      <c r="Y29" s="33">
        <f t="shared" si="49"/>
        <v>0</v>
      </c>
      <c r="Z29" s="33">
        <f t="shared" si="49"/>
        <v>0</v>
      </c>
      <c r="AA29" s="33">
        <f t="shared" si="49"/>
        <v>0</v>
      </c>
      <c r="AB29" s="33">
        <f t="shared" si="49"/>
        <v>0</v>
      </c>
      <c r="AC29" s="33">
        <f t="shared" si="49"/>
        <v>0</v>
      </c>
      <c r="AD29" s="33">
        <f t="shared" si="49"/>
        <v>0</v>
      </c>
      <c r="AE29" s="33">
        <f t="shared" si="49"/>
        <v>0</v>
      </c>
      <c r="AF29" s="33">
        <f t="shared" si="49"/>
        <v>0</v>
      </c>
      <c r="AG29" s="33">
        <f t="shared" si="49"/>
        <v>0</v>
      </c>
      <c r="AH29" s="33">
        <f t="shared" si="49"/>
        <v>0</v>
      </c>
      <c r="AI29" s="33">
        <f>AI26+AI28</f>
        <v>252071.10894000001</v>
      </c>
      <c r="AJ29" s="36"/>
      <c r="AK29" s="36"/>
      <c r="AL29" s="36"/>
      <c r="AM29" s="36"/>
      <c r="AN29" s="36"/>
      <c r="AO29" s="35"/>
      <c r="AP29" s="35"/>
      <c r="AQ29" s="60"/>
      <c r="AR29" s="35"/>
    </row>
    <row r="30" spans="1:44" s="31" customFormat="1">
      <c r="A30" s="82" t="s">
        <v>64</v>
      </c>
      <c r="B30" s="6" t="s">
        <v>5</v>
      </c>
      <c r="C30" s="90">
        <f t="shared" ref="C30:AH30" si="50">IFERROR(C29/$C$48,0)</f>
        <v>0</v>
      </c>
      <c r="D30" s="90">
        <f t="shared" si="50"/>
        <v>0</v>
      </c>
      <c r="E30" s="90">
        <f t="shared" si="50"/>
        <v>0</v>
      </c>
      <c r="F30" s="90">
        <f t="shared" si="50"/>
        <v>0</v>
      </c>
      <c r="G30" s="90">
        <f t="shared" si="50"/>
        <v>0</v>
      </c>
      <c r="H30" s="90">
        <f t="shared" si="50"/>
        <v>0</v>
      </c>
      <c r="I30" s="90">
        <f t="shared" si="50"/>
        <v>0</v>
      </c>
      <c r="J30" s="90">
        <f t="shared" si="50"/>
        <v>0</v>
      </c>
      <c r="K30" s="90">
        <f t="shared" si="50"/>
        <v>0</v>
      </c>
      <c r="L30" s="90">
        <f t="shared" si="50"/>
        <v>0</v>
      </c>
      <c r="M30" s="90">
        <f t="shared" si="50"/>
        <v>0</v>
      </c>
      <c r="N30" s="90">
        <f t="shared" si="50"/>
        <v>0</v>
      </c>
      <c r="O30" s="90">
        <f t="shared" si="50"/>
        <v>0</v>
      </c>
      <c r="P30" s="90">
        <f t="shared" si="50"/>
        <v>0</v>
      </c>
      <c r="Q30" s="90">
        <f t="shared" si="50"/>
        <v>0</v>
      </c>
      <c r="R30" s="90">
        <f t="shared" si="50"/>
        <v>0</v>
      </c>
      <c r="S30" s="90">
        <f t="shared" si="50"/>
        <v>0</v>
      </c>
      <c r="T30" s="90">
        <f t="shared" si="50"/>
        <v>0</v>
      </c>
      <c r="U30" s="90">
        <f t="shared" si="50"/>
        <v>0</v>
      </c>
      <c r="V30" s="90">
        <f t="shared" si="50"/>
        <v>0</v>
      </c>
      <c r="W30" s="90">
        <f t="shared" si="50"/>
        <v>0</v>
      </c>
      <c r="X30" s="90">
        <f t="shared" si="50"/>
        <v>0</v>
      </c>
      <c r="Y30" s="90">
        <f t="shared" si="50"/>
        <v>0</v>
      </c>
      <c r="Z30" s="90">
        <f t="shared" si="50"/>
        <v>0</v>
      </c>
      <c r="AA30" s="90">
        <f t="shared" si="50"/>
        <v>0</v>
      </c>
      <c r="AB30" s="90">
        <f t="shared" si="50"/>
        <v>0</v>
      </c>
      <c r="AC30" s="90">
        <f t="shared" si="50"/>
        <v>0</v>
      </c>
      <c r="AD30" s="90">
        <f t="shared" si="50"/>
        <v>0</v>
      </c>
      <c r="AE30" s="90">
        <f t="shared" si="50"/>
        <v>0</v>
      </c>
      <c r="AF30" s="90">
        <f t="shared" si="50"/>
        <v>0</v>
      </c>
      <c r="AG30" s="90">
        <f t="shared" si="50"/>
        <v>0</v>
      </c>
      <c r="AH30" s="90">
        <f t="shared" si="50"/>
        <v>0</v>
      </c>
      <c r="AI30" s="90">
        <f>IFERROR(AI29/$C$48,0)</f>
        <v>0</v>
      </c>
      <c r="AJ30" s="36"/>
      <c r="AK30" s="36"/>
      <c r="AL30" s="36"/>
      <c r="AM30" s="36"/>
      <c r="AN30" s="36"/>
      <c r="AO30" s="35"/>
      <c r="AP30" s="35"/>
      <c r="AQ30" s="35"/>
      <c r="AR30" s="35"/>
    </row>
    <row r="31" spans="1:44" s="31" customFormat="1">
      <c r="A31" s="9" t="s">
        <v>65</v>
      </c>
      <c r="B31" s="30" t="s">
        <v>4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32"/>
      <c r="AJ31" s="36"/>
      <c r="AK31" s="36"/>
      <c r="AL31" s="36"/>
      <c r="AM31" s="36"/>
      <c r="AN31" s="36"/>
      <c r="AO31" s="35"/>
      <c r="AP31" s="35"/>
      <c r="AQ31" s="35"/>
      <c r="AR31" s="35"/>
    </row>
    <row r="32" spans="1:44" s="31" customFormat="1">
      <c r="A32" s="83" t="s">
        <v>66</v>
      </c>
      <c r="B32" s="16" t="s">
        <v>5</v>
      </c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5"/>
      <c r="AI32" s="84"/>
      <c r="AJ32" s="36"/>
      <c r="AK32" s="36"/>
      <c r="AL32" s="36"/>
      <c r="AM32" s="36"/>
      <c r="AN32" s="36"/>
      <c r="AO32" s="35"/>
      <c r="AP32" s="35"/>
      <c r="AQ32" s="35"/>
      <c r="AR32" s="35"/>
    </row>
    <row r="33" spans="1:44" s="31" customFormat="1">
      <c r="A33" s="6" t="s">
        <v>71</v>
      </c>
      <c r="B33" s="6" t="s">
        <v>59</v>
      </c>
      <c r="C33" s="91">
        <f t="shared" ref="C33" si="51">IFERROR(C29/C8,0)</f>
        <v>0</v>
      </c>
      <c r="D33" s="91">
        <f t="shared" ref="D33:AH33" si="52">IFERROR(D29/D8,0)</f>
        <v>0</v>
      </c>
      <c r="E33" s="91">
        <f t="shared" si="52"/>
        <v>0</v>
      </c>
      <c r="F33" s="91">
        <f t="shared" si="52"/>
        <v>0</v>
      </c>
      <c r="G33" s="91">
        <f t="shared" si="52"/>
        <v>0</v>
      </c>
      <c r="H33" s="91">
        <f t="shared" si="52"/>
        <v>0</v>
      </c>
      <c r="I33" s="91">
        <f t="shared" si="52"/>
        <v>0</v>
      </c>
      <c r="J33" s="91">
        <f t="shared" si="52"/>
        <v>0</v>
      </c>
      <c r="K33" s="91">
        <f t="shared" si="52"/>
        <v>0</v>
      </c>
      <c r="L33" s="91">
        <f t="shared" si="52"/>
        <v>0</v>
      </c>
      <c r="M33" s="91">
        <f t="shared" si="52"/>
        <v>0</v>
      </c>
      <c r="N33" s="91">
        <f t="shared" si="52"/>
        <v>0</v>
      </c>
      <c r="O33" s="91">
        <f t="shared" si="52"/>
        <v>0</v>
      </c>
      <c r="P33" s="91">
        <f t="shared" si="52"/>
        <v>0</v>
      </c>
      <c r="Q33" s="91">
        <f t="shared" si="52"/>
        <v>0</v>
      </c>
      <c r="R33" s="91">
        <f t="shared" si="52"/>
        <v>0</v>
      </c>
      <c r="S33" s="91">
        <f t="shared" si="52"/>
        <v>0</v>
      </c>
      <c r="T33" s="91">
        <f t="shared" si="52"/>
        <v>0</v>
      </c>
      <c r="U33" s="91">
        <f t="shared" si="52"/>
        <v>0</v>
      </c>
      <c r="V33" s="91">
        <f t="shared" si="52"/>
        <v>0</v>
      </c>
      <c r="W33" s="91">
        <f t="shared" si="52"/>
        <v>0</v>
      </c>
      <c r="X33" s="91">
        <f t="shared" si="52"/>
        <v>0</v>
      </c>
      <c r="Y33" s="91">
        <f t="shared" si="52"/>
        <v>0</v>
      </c>
      <c r="Z33" s="91">
        <f t="shared" si="52"/>
        <v>0</v>
      </c>
      <c r="AA33" s="91">
        <f t="shared" si="52"/>
        <v>0</v>
      </c>
      <c r="AB33" s="91">
        <f t="shared" si="52"/>
        <v>0</v>
      </c>
      <c r="AC33" s="91">
        <f t="shared" si="52"/>
        <v>0</v>
      </c>
      <c r="AD33" s="91">
        <f t="shared" si="52"/>
        <v>0</v>
      </c>
      <c r="AE33" s="91">
        <f t="shared" si="52"/>
        <v>0</v>
      </c>
      <c r="AF33" s="91">
        <f t="shared" si="52"/>
        <v>0</v>
      </c>
      <c r="AG33" s="91">
        <f t="shared" si="52"/>
        <v>0</v>
      </c>
      <c r="AH33" s="91">
        <f t="shared" si="52"/>
        <v>0</v>
      </c>
      <c r="AI33" s="91">
        <f>IFERROR(AI29/AI8,0)</f>
        <v>122.03889364995989</v>
      </c>
      <c r="AJ33" s="36"/>
      <c r="AK33" s="36"/>
      <c r="AL33" s="36"/>
      <c r="AM33" s="36"/>
      <c r="AN33" s="36"/>
      <c r="AO33" s="35"/>
      <c r="AP33" s="35"/>
      <c r="AQ33" s="35"/>
      <c r="AR33" s="35"/>
    </row>
    <row r="34" spans="1:44" s="31" customFormat="1">
      <c r="A34" s="6" t="s">
        <v>71</v>
      </c>
      <c r="B34" s="6" t="s">
        <v>76</v>
      </c>
      <c r="C34" s="91">
        <f t="shared" ref="C34:AH34" si="53">IFERROR(C33/C41,0)</f>
        <v>0</v>
      </c>
      <c r="D34" s="91">
        <f t="shared" si="53"/>
        <v>0</v>
      </c>
      <c r="E34" s="91">
        <f t="shared" si="53"/>
        <v>0</v>
      </c>
      <c r="F34" s="91">
        <f t="shared" si="53"/>
        <v>0</v>
      </c>
      <c r="G34" s="91">
        <f t="shared" si="53"/>
        <v>0</v>
      </c>
      <c r="H34" s="91">
        <f t="shared" si="53"/>
        <v>0</v>
      </c>
      <c r="I34" s="91">
        <f t="shared" si="53"/>
        <v>0</v>
      </c>
      <c r="J34" s="91">
        <f t="shared" si="53"/>
        <v>0</v>
      </c>
      <c r="K34" s="91">
        <f t="shared" si="53"/>
        <v>0</v>
      </c>
      <c r="L34" s="91">
        <f t="shared" si="53"/>
        <v>0</v>
      </c>
      <c r="M34" s="91">
        <f t="shared" si="53"/>
        <v>0</v>
      </c>
      <c r="N34" s="91">
        <f t="shared" si="53"/>
        <v>0</v>
      </c>
      <c r="O34" s="91">
        <f t="shared" si="53"/>
        <v>0</v>
      </c>
      <c r="P34" s="91">
        <f t="shared" si="53"/>
        <v>0</v>
      </c>
      <c r="Q34" s="91">
        <f t="shared" si="53"/>
        <v>0</v>
      </c>
      <c r="R34" s="91">
        <f t="shared" si="53"/>
        <v>0</v>
      </c>
      <c r="S34" s="91">
        <f t="shared" si="53"/>
        <v>0</v>
      </c>
      <c r="T34" s="91">
        <f t="shared" si="53"/>
        <v>0</v>
      </c>
      <c r="U34" s="91">
        <f t="shared" si="53"/>
        <v>0</v>
      </c>
      <c r="V34" s="91">
        <f t="shared" si="53"/>
        <v>0</v>
      </c>
      <c r="W34" s="91">
        <f t="shared" si="53"/>
        <v>0</v>
      </c>
      <c r="X34" s="91">
        <f t="shared" si="53"/>
        <v>0</v>
      </c>
      <c r="Y34" s="91">
        <f t="shared" si="53"/>
        <v>0</v>
      </c>
      <c r="Z34" s="91">
        <f t="shared" si="53"/>
        <v>0</v>
      </c>
      <c r="AA34" s="91">
        <f t="shared" si="53"/>
        <v>0</v>
      </c>
      <c r="AB34" s="91">
        <f t="shared" si="53"/>
        <v>0</v>
      </c>
      <c r="AC34" s="91">
        <f t="shared" si="53"/>
        <v>0</v>
      </c>
      <c r="AD34" s="91">
        <f t="shared" si="53"/>
        <v>0</v>
      </c>
      <c r="AE34" s="91">
        <f t="shared" si="53"/>
        <v>0</v>
      </c>
      <c r="AF34" s="91">
        <f t="shared" si="53"/>
        <v>0</v>
      </c>
      <c r="AG34" s="91">
        <f t="shared" si="53"/>
        <v>0</v>
      </c>
      <c r="AH34" s="91">
        <f t="shared" si="53"/>
        <v>0</v>
      </c>
      <c r="AI34" s="91">
        <f>IFERROR(AI33/AI41,0)</f>
        <v>22.298507500382531</v>
      </c>
      <c r="AJ34" s="36"/>
      <c r="AK34" s="36"/>
      <c r="AL34" s="36"/>
      <c r="AM34" s="36"/>
      <c r="AN34" s="36"/>
      <c r="AO34" s="35"/>
      <c r="AP34" s="35"/>
      <c r="AQ34" s="35"/>
      <c r="AR34" s="35"/>
    </row>
    <row r="35" spans="1:44" s="31" customFormat="1">
      <c r="A35" s="29"/>
      <c r="B35" s="29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71"/>
      <c r="AI35" s="33"/>
      <c r="AJ35" s="36"/>
      <c r="AK35" s="36"/>
      <c r="AL35" s="36"/>
      <c r="AM35" s="36"/>
      <c r="AN35" s="36"/>
      <c r="AO35" s="35"/>
      <c r="AP35" s="35"/>
      <c r="AQ35" s="35"/>
      <c r="AR35" s="35"/>
    </row>
    <row r="36" spans="1:44" s="31" customFormat="1">
      <c r="A36" s="30" t="s">
        <v>72</v>
      </c>
      <c r="B36" s="30" t="s">
        <v>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>
        <f>AI118</f>
        <v>413475</v>
      </c>
      <c r="AJ36" s="36"/>
      <c r="AK36" s="36"/>
      <c r="AL36" s="36"/>
      <c r="AM36" s="36"/>
      <c r="AN36" s="36"/>
      <c r="AO36" s="35"/>
      <c r="AP36" s="35"/>
      <c r="AQ36" s="35"/>
      <c r="AR36" s="35"/>
    </row>
    <row r="37" spans="1:44">
      <c r="A37" s="16" t="s">
        <v>73</v>
      </c>
      <c r="B37" s="30" t="s">
        <v>4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>
        <f>AI145+AI146+AI156+AI157</f>
        <v>1752183</v>
      </c>
      <c r="AJ37" s="36"/>
      <c r="AK37" s="36"/>
      <c r="AL37" s="36"/>
      <c r="AM37" s="36"/>
      <c r="AN37" s="36"/>
    </row>
    <row r="38" spans="1:44">
      <c r="A38" s="6" t="s">
        <v>74</v>
      </c>
      <c r="B38" s="29" t="s">
        <v>4</v>
      </c>
      <c r="C38" s="18">
        <f t="shared" ref="C38:AH38" si="54">C37-C36</f>
        <v>0</v>
      </c>
      <c r="D38" s="18">
        <f t="shared" si="54"/>
        <v>0</v>
      </c>
      <c r="E38" s="18">
        <f t="shared" si="54"/>
        <v>0</v>
      </c>
      <c r="F38" s="18">
        <f t="shared" si="54"/>
        <v>0</v>
      </c>
      <c r="G38" s="18">
        <f t="shared" si="54"/>
        <v>0</v>
      </c>
      <c r="H38" s="18">
        <f t="shared" si="54"/>
        <v>0</v>
      </c>
      <c r="I38" s="18">
        <f t="shared" si="54"/>
        <v>0</v>
      </c>
      <c r="J38" s="18">
        <f t="shared" si="54"/>
        <v>0</v>
      </c>
      <c r="K38" s="18">
        <f t="shared" si="54"/>
        <v>0</v>
      </c>
      <c r="L38" s="18">
        <f t="shared" si="54"/>
        <v>0</v>
      </c>
      <c r="M38" s="18">
        <f t="shared" si="54"/>
        <v>0</v>
      </c>
      <c r="N38" s="18">
        <f t="shared" si="54"/>
        <v>0</v>
      </c>
      <c r="O38" s="18">
        <f t="shared" si="54"/>
        <v>0</v>
      </c>
      <c r="P38" s="18">
        <f t="shared" si="54"/>
        <v>0</v>
      </c>
      <c r="Q38" s="18">
        <f t="shared" si="54"/>
        <v>0</v>
      </c>
      <c r="R38" s="18">
        <f t="shared" si="54"/>
        <v>0</v>
      </c>
      <c r="S38" s="18">
        <f t="shared" si="54"/>
        <v>0</v>
      </c>
      <c r="T38" s="18">
        <f t="shared" si="54"/>
        <v>0</v>
      </c>
      <c r="U38" s="18">
        <f t="shared" si="54"/>
        <v>0</v>
      </c>
      <c r="V38" s="18">
        <f t="shared" si="54"/>
        <v>0</v>
      </c>
      <c r="W38" s="18">
        <f t="shared" si="54"/>
        <v>0</v>
      </c>
      <c r="X38" s="18">
        <f t="shared" si="54"/>
        <v>0</v>
      </c>
      <c r="Y38" s="18">
        <f t="shared" si="54"/>
        <v>0</v>
      </c>
      <c r="Z38" s="18">
        <f t="shared" si="54"/>
        <v>0</v>
      </c>
      <c r="AA38" s="18">
        <f t="shared" si="54"/>
        <v>0</v>
      </c>
      <c r="AB38" s="18">
        <f t="shared" si="54"/>
        <v>0</v>
      </c>
      <c r="AC38" s="18">
        <f t="shared" si="54"/>
        <v>0</v>
      </c>
      <c r="AD38" s="18">
        <f t="shared" si="54"/>
        <v>0</v>
      </c>
      <c r="AE38" s="18">
        <f t="shared" si="54"/>
        <v>0</v>
      </c>
      <c r="AF38" s="18">
        <f t="shared" si="54"/>
        <v>0</v>
      </c>
      <c r="AG38" s="18">
        <f t="shared" si="54"/>
        <v>0</v>
      </c>
      <c r="AH38" s="18">
        <f t="shared" si="54"/>
        <v>0</v>
      </c>
      <c r="AI38" s="7">
        <f>AI37-AI36</f>
        <v>1338708</v>
      </c>
    </row>
    <row r="39" spans="1:44">
      <c r="A39" s="6" t="s">
        <v>77</v>
      </c>
      <c r="B39" s="29" t="s">
        <v>75</v>
      </c>
      <c r="C39" s="86"/>
      <c r="D39" s="86"/>
      <c r="E39" s="86"/>
      <c r="F39" s="86">
        <f>IFERROR(F38/SUM(C29:F29),0)</f>
        <v>0</v>
      </c>
      <c r="G39" s="86">
        <f t="shared" ref="G39:AI39" si="55">IFERROR(G38/SUM(D29:G29),0)</f>
        <v>0</v>
      </c>
      <c r="H39" s="86">
        <f t="shared" si="55"/>
        <v>0</v>
      </c>
      <c r="I39" s="86">
        <f t="shared" si="55"/>
        <v>0</v>
      </c>
      <c r="J39" s="86">
        <f t="shared" si="55"/>
        <v>0</v>
      </c>
      <c r="K39" s="86">
        <f t="shared" si="55"/>
        <v>0</v>
      </c>
      <c r="L39" s="86">
        <f t="shared" si="55"/>
        <v>0</v>
      </c>
      <c r="M39" s="86">
        <f t="shared" si="55"/>
        <v>0</v>
      </c>
      <c r="N39" s="86">
        <f t="shared" si="55"/>
        <v>0</v>
      </c>
      <c r="O39" s="86">
        <f t="shared" si="55"/>
        <v>0</v>
      </c>
      <c r="P39" s="86">
        <f t="shared" si="55"/>
        <v>0</v>
      </c>
      <c r="Q39" s="86">
        <f t="shared" si="55"/>
        <v>0</v>
      </c>
      <c r="R39" s="86">
        <f t="shared" si="55"/>
        <v>0</v>
      </c>
      <c r="S39" s="86">
        <f t="shared" si="55"/>
        <v>0</v>
      </c>
      <c r="T39" s="86">
        <f t="shared" si="55"/>
        <v>0</v>
      </c>
      <c r="U39" s="86">
        <f t="shared" si="55"/>
        <v>0</v>
      </c>
      <c r="V39" s="86">
        <f t="shared" si="55"/>
        <v>0</v>
      </c>
      <c r="W39" s="86">
        <f t="shared" si="55"/>
        <v>0</v>
      </c>
      <c r="X39" s="86">
        <f t="shared" si="55"/>
        <v>0</v>
      </c>
      <c r="Y39" s="86">
        <f t="shared" si="55"/>
        <v>0</v>
      </c>
      <c r="Z39" s="86">
        <f t="shared" si="55"/>
        <v>0</v>
      </c>
      <c r="AA39" s="86">
        <f t="shared" si="55"/>
        <v>0</v>
      </c>
      <c r="AB39" s="86">
        <f t="shared" si="55"/>
        <v>0</v>
      </c>
      <c r="AC39" s="86">
        <f t="shared" si="55"/>
        <v>0</v>
      </c>
      <c r="AD39" s="86">
        <f t="shared" si="55"/>
        <v>0</v>
      </c>
      <c r="AE39" s="86">
        <f t="shared" si="55"/>
        <v>0</v>
      </c>
      <c r="AF39" s="86">
        <f t="shared" si="55"/>
        <v>0</v>
      </c>
      <c r="AG39" s="86">
        <f t="shared" si="55"/>
        <v>0</v>
      </c>
      <c r="AH39" s="86">
        <f t="shared" si="55"/>
        <v>0</v>
      </c>
      <c r="AI39" s="86">
        <f t="shared" si="55"/>
        <v>5.3108347308403756</v>
      </c>
    </row>
    <row r="40" spans="1:44">
      <c r="A40" s="6"/>
      <c r="B40" s="29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AF40" s="67"/>
      <c r="AG40" s="67"/>
      <c r="AH40" s="67"/>
      <c r="AI40" s="4"/>
    </row>
    <row r="41" spans="1:44">
      <c r="A41" s="16" t="s">
        <v>101</v>
      </c>
      <c r="B41" s="29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>
        <v>5.4729624235104666</v>
      </c>
    </row>
    <row r="42" spans="1:44">
      <c r="A42" s="16"/>
      <c r="B42" s="16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AF42" s="67"/>
      <c r="AG42" s="67"/>
      <c r="AH42" s="67"/>
      <c r="AI42" s="4"/>
    </row>
    <row r="43" spans="1:44">
      <c r="A43" s="76" t="s">
        <v>6</v>
      </c>
      <c r="B43" s="77"/>
      <c r="C43" s="78"/>
      <c r="D43" s="78"/>
      <c r="E43" s="78"/>
      <c r="F43" s="78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8"/>
    </row>
    <row r="44" spans="1:44" s="35" customFormat="1">
      <c r="A44" s="9" t="s">
        <v>78</v>
      </c>
      <c r="B44" s="16" t="s">
        <v>4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>
        <v>885034</v>
      </c>
    </row>
    <row r="45" spans="1:44" s="35" customFormat="1">
      <c r="A45" s="9" t="s">
        <v>79</v>
      </c>
      <c r="B45" s="16" t="s">
        <v>4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>
        <v>38725</v>
      </c>
    </row>
    <row r="46" spans="1:44" s="35" customFormat="1">
      <c r="A46" s="9" t="s">
        <v>80</v>
      </c>
      <c r="B46" s="16" t="s">
        <v>4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>
        <v>-225174</v>
      </c>
    </row>
    <row r="47" spans="1:44" s="35" customFormat="1">
      <c r="A47" s="9" t="s">
        <v>81</v>
      </c>
      <c r="B47" s="16" t="s">
        <v>4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>
        <v>-4539</v>
      </c>
    </row>
    <row r="48" spans="1:44">
      <c r="A48" s="6" t="s">
        <v>2</v>
      </c>
      <c r="B48" s="6" t="s">
        <v>4</v>
      </c>
      <c r="C48" s="68">
        <f t="shared" ref="C48:AH48" si="56">SUM(C44:C47)</f>
        <v>0</v>
      </c>
      <c r="D48" s="68">
        <f t="shared" si="56"/>
        <v>0</v>
      </c>
      <c r="E48" s="68">
        <f t="shared" si="56"/>
        <v>0</v>
      </c>
      <c r="F48" s="68">
        <f t="shared" si="56"/>
        <v>0</v>
      </c>
      <c r="G48" s="68">
        <f t="shared" si="56"/>
        <v>0</v>
      </c>
      <c r="H48" s="68">
        <f t="shared" si="56"/>
        <v>0</v>
      </c>
      <c r="I48" s="68">
        <f t="shared" si="56"/>
        <v>0</v>
      </c>
      <c r="J48" s="68">
        <f t="shared" si="56"/>
        <v>0</v>
      </c>
      <c r="K48" s="68">
        <f t="shared" si="56"/>
        <v>0</v>
      </c>
      <c r="L48" s="68">
        <f t="shared" si="56"/>
        <v>0</v>
      </c>
      <c r="M48" s="68">
        <f t="shared" si="56"/>
        <v>0</v>
      </c>
      <c r="N48" s="68">
        <f t="shared" si="56"/>
        <v>0</v>
      </c>
      <c r="O48" s="68">
        <f t="shared" si="56"/>
        <v>0</v>
      </c>
      <c r="P48" s="68">
        <f t="shared" si="56"/>
        <v>0</v>
      </c>
      <c r="Q48" s="68">
        <f t="shared" si="56"/>
        <v>0</v>
      </c>
      <c r="R48" s="68">
        <f t="shared" si="56"/>
        <v>0</v>
      </c>
      <c r="S48" s="68">
        <f t="shared" si="56"/>
        <v>0</v>
      </c>
      <c r="T48" s="68">
        <f t="shared" si="56"/>
        <v>0</v>
      </c>
      <c r="U48" s="68">
        <f t="shared" si="56"/>
        <v>0</v>
      </c>
      <c r="V48" s="68">
        <f t="shared" si="56"/>
        <v>0</v>
      </c>
      <c r="W48" s="68">
        <f t="shared" si="56"/>
        <v>0</v>
      </c>
      <c r="X48" s="68">
        <f t="shared" si="56"/>
        <v>0</v>
      </c>
      <c r="Y48" s="68">
        <f t="shared" si="56"/>
        <v>0</v>
      </c>
      <c r="Z48" s="68">
        <f t="shared" si="56"/>
        <v>0</v>
      </c>
      <c r="AA48" s="68">
        <f t="shared" si="56"/>
        <v>0</v>
      </c>
      <c r="AB48" s="68">
        <f t="shared" si="56"/>
        <v>0</v>
      </c>
      <c r="AC48" s="68">
        <f t="shared" si="56"/>
        <v>0</v>
      </c>
      <c r="AD48" s="68">
        <f t="shared" si="56"/>
        <v>0</v>
      </c>
      <c r="AE48" s="68">
        <f t="shared" si="56"/>
        <v>0</v>
      </c>
      <c r="AF48" s="68">
        <f t="shared" si="56"/>
        <v>0</v>
      </c>
      <c r="AG48" s="68">
        <f t="shared" si="56"/>
        <v>0</v>
      </c>
      <c r="AH48" s="68">
        <f t="shared" si="56"/>
        <v>0</v>
      </c>
      <c r="AI48" s="68">
        <f>SUM(AI44:AI47)</f>
        <v>694046</v>
      </c>
      <c r="AJ48" s="36"/>
      <c r="AK48" s="36"/>
      <c r="AL48" s="36"/>
      <c r="AM48" s="36"/>
      <c r="AN48" s="36"/>
    </row>
    <row r="49" spans="1:51">
      <c r="A49" s="9" t="s">
        <v>84</v>
      </c>
      <c r="B49" s="16" t="s">
        <v>4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>
        <f>-510052-AI51</f>
        <v>-414978</v>
      </c>
      <c r="AJ49" s="36"/>
      <c r="AK49" s="36"/>
      <c r="AL49" s="36"/>
      <c r="AM49" s="36"/>
      <c r="AN49" s="36"/>
    </row>
    <row r="50" spans="1:51" ht="12.75" customHeight="1">
      <c r="A50" s="9" t="s">
        <v>85</v>
      </c>
      <c r="B50" s="16" t="s">
        <v>4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36"/>
      <c r="AK50" s="36"/>
      <c r="AL50" s="36"/>
      <c r="AM50" s="36"/>
      <c r="AN50" s="36"/>
    </row>
    <row r="51" spans="1:51" ht="12.75" customHeight="1">
      <c r="A51" s="9" t="s">
        <v>86</v>
      </c>
      <c r="B51" s="16" t="s">
        <v>4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>
        <f>-66238-28836</f>
        <v>-95074</v>
      </c>
      <c r="AJ51" s="36"/>
      <c r="AK51" s="36"/>
      <c r="AL51" s="36"/>
      <c r="AM51" s="36"/>
      <c r="AN51" s="36"/>
    </row>
    <row r="52" spans="1:51">
      <c r="A52" s="6" t="s">
        <v>83</v>
      </c>
      <c r="B52" s="6" t="s">
        <v>4</v>
      </c>
      <c r="C52" s="13">
        <f t="shared" ref="C52:AH52" si="57">SUM(C49:C51)</f>
        <v>0</v>
      </c>
      <c r="D52" s="13">
        <f t="shared" si="57"/>
        <v>0</v>
      </c>
      <c r="E52" s="13">
        <f t="shared" si="57"/>
        <v>0</v>
      </c>
      <c r="F52" s="13">
        <f t="shared" si="57"/>
        <v>0</v>
      </c>
      <c r="G52" s="13">
        <f t="shared" si="57"/>
        <v>0</v>
      </c>
      <c r="H52" s="13">
        <f t="shared" si="57"/>
        <v>0</v>
      </c>
      <c r="I52" s="13">
        <f t="shared" si="57"/>
        <v>0</v>
      </c>
      <c r="J52" s="13">
        <f t="shared" si="57"/>
        <v>0</v>
      </c>
      <c r="K52" s="13">
        <f t="shared" si="57"/>
        <v>0</v>
      </c>
      <c r="L52" s="13">
        <f t="shared" si="57"/>
        <v>0</v>
      </c>
      <c r="M52" s="13">
        <f t="shared" si="57"/>
        <v>0</v>
      </c>
      <c r="N52" s="13">
        <f t="shared" si="57"/>
        <v>0</v>
      </c>
      <c r="O52" s="13">
        <f t="shared" si="57"/>
        <v>0</v>
      </c>
      <c r="P52" s="13">
        <f t="shared" si="57"/>
        <v>0</v>
      </c>
      <c r="Q52" s="13">
        <f t="shared" si="57"/>
        <v>0</v>
      </c>
      <c r="R52" s="13">
        <f t="shared" si="57"/>
        <v>0</v>
      </c>
      <c r="S52" s="13">
        <f t="shared" si="57"/>
        <v>0</v>
      </c>
      <c r="T52" s="13">
        <f t="shared" si="57"/>
        <v>0</v>
      </c>
      <c r="U52" s="13">
        <f t="shared" si="57"/>
        <v>0</v>
      </c>
      <c r="V52" s="13">
        <f t="shared" si="57"/>
        <v>0</v>
      </c>
      <c r="W52" s="13">
        <f t="shared" si="57"/>
        <v>0</v>
      </c>
      <c r="X52" s="13">
        <f t="shared" si="57"/>
        <v>0</v>
      </c>
      <c r="Y52" s="13">
        <f t="shared" si="57"/>
        <v>0</v>
      </c>
      <c r="Z52" s="13">
        <f t="shared" si="57"/>
        <v>0</v>
      </c>
      <c r="AA52" s="13">
        <f t="shared" si="57"/>
        <v>0</v>
      </c>
      <c r="AB52" s="13">
        <f t="shared" si="57"/>
        <v>0</v>
      </c>
      <c r="AC52" s="13">
        <f t="shared" si="57"/>
        <v>0</v>
      </c>
      <c r="AD52" s="13">
        <f t="shared" si="57"/>
        <v>0</v>
      </c>
      <c r="AE52" s="13">
        <f t="shared" si="57"/>
        <v>0</v>
      </c>
      <c r="AF52" s="13">
        <f t="shared" si="57"/>
        <v>0</v>
      </c>
      <c r="AG52" s="13">
        <f t="shared" si="57"/>
        <v>0</v>
      </c>
      <c r="AH52" s="13">
        <f t="shared" si="57"/>
        <v>0</v>
      </c>
      <c r="AI52" s="13">
        <f>SUM(AI49:AI51)</f>
        <v>-510052</v>
      </c>
      <c r="AJ52" s="36"/>
      <c r="AK52" s="36"/>
      <c r="AL52" s="36"/>
      <c r="AM52" s="36"/>
      <c r="AN52" s="36"/>
      <c r="AQ52" s="39"/>
    </row>
    <row r="53" spans="1:51" s="31" customFormat="1">
      <c r="A53" s="29" t="s">
        <v>87</v>
      </c>
      <c r="B53" s="29" t="s">
        <v>4</v>
      </c>
      <c r="C53" s="68">
        <f t="shared" ref="C53:AH53" si="58">SUM(C52,C48)</f>
        <v>0</v>
      </c>
      <c r="D53" s="68">
        <f t="shared" si="58"/>
        <v>0</v>
      </c>
      <c r="E53" s="68">
        <f t="shared" si="58"/>
        <v>0</v>
      </c>
      <c r="F53" s="68">
        <f t="shared" si="58"/>
        <v>0</v>
      </c>
      <c r="G53" s="68">
        <f t="shared" si="58"/>
        <v>0</v>
      </c>
      <c r="H53" s="68">
        <f t="shared" si="58"/>
        <v>0</v>
      </c>
      <c r="I53" s="68">
        <f t="shared" si="58"/>
        <v>0</v>
      </c>
      <c r="J53" s="68">
        <f t="shared" si="58"/>
        <v>0</v>
      </c>
      <c r="K53" s="68">
        <f t="shared" si="58"/>
        <v>0</v>
      </c>
      <c r="L53" s="68">
        <f t="shared" si="58"/>
        <v>0</v>
      </c>
      <c r="M53" s="68">
        <f t="shared" si="58"/>
        <v>0</v>
      </c>
      <c r="N53" s="68">
        <f t="shared" si="58"/>
        <v>0</v>
      </c>
      <c r="O53" s="68">
        <f t="shared" si="58"/>
        <v>0</v>
      </c>
      <c r="P53" s="68">
        <f t="shared" si="58"/>
        <v>0</v>
      </c>
      <c r="Q53" s="68">
        <f t="shared" si="58"/>
        <v>0</v>
      </c>
      <c r="R53" s="68">
        <f t="shared" si="58"/>
        <v>0</v>
      </c>
      <c r="S53" s="68">
        <f t="shared" si="58"/>
        <v>0</v>
      </c>
      <c r="T53" s="68">
        <f t="shared" si="58"/>
        <v>0</v>
      </c>
      <c r="U53" s="68">
        <f t="shared" si="58"/>
        <v>0</v>
      </c>
      <c r="V53" s="68">
        <f t="shared" si="58"/>
        <v>0</v>
      </c>
      <c r="W53" s="68">
        <f t="shared" si="58"/>
        <v>0</v>
      </c>
      <c r="X53" s="68">
        <f t="shared" si="58"/>
        <v>0</v>
      </c>
      <c r="Y53" s="68">
        <f t="shared" si="58"/>
        <v>0</v>
      </c>
      <c r="Z53" s="68">
        <f t="shared" si="58"/>
        <v>0</v>
      </c>
      <c r="AA53" s="68">
        <f t="shared" si="58"/>
        <v>0</v>
      </c>
      <c r="AB53" s="68">
        <f t="shared" si="58"/>
        <v>0</v>
      </c>
      <c r="AC53" s="68">
        <f t="shared" si="58"/>
        <v>0</v>
      </c>
      <c r="AD53" s="68">
        <f t="shared" si="58"/>
        <v>0</v>
      </c>
      <c r="AE53" s="68">
        <f t="shared" si="58"/>
        <v>0</v>
      </c>
      <c r="AF53" s="68">
        <f t="shared" si="58"/>
        <v>0</v>
      </c>
      <c r="AG53" s="68">
        <f t="shared" si="58"/>
        <v>0</v>
      </c>
      <c r="AH53" s="68">
        <f t="shared" si="58"/>
        <v>0</v>
      </c>
      <c r="AI53" s="68">
        <f>SUM(AI52,AI48)</f>
        <v>183994</v>
      </c>
      <c r="AJ53" s="28"/>
      <c r="AK53" s="28"/>
      <c r="AL53" s="28"/>
      <c r="AM53" s="28"/>
      <c r="AN53" s="28"/>
    </row>
    <row r="54" spans="1:51" s="31" customFormat="1">
      <c r="A54" s="9" t="s">
        <v>69</v>
      </c>
      <c r="B54" s="16" t="s">
        <v>4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>
        <v>-51157</v>
      </c>
      <c r="AJ54" s="28"/>
      <c r="AK54" s="28"/>
      <c r="AL54" s="28"/>
      <c r="AM54" s="28"/>
      <c r="AN54" s="28"/>
    </row>
    <row r="55" spans="1:51" s="31" customFormat="1">
      <c r="A55" s="9" t="s">
        <v>91</v>
      </c>
      <c r="B55" s="16" t="s">
        <v>4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28"/>
      <c r="AK55" s="28"/>
      <c r="AL55" s="28"/>
      <c r="AM55" s="28"/>
      <c r="AN55" s="28"/>
    </row>
    <row r="56" spans="1:51" s="31" customFormat="1">
      <c r="A56" s="9" t="s">
        <v>86</v>
      </c>
      <c r="B56" s="16" t="s">
        <v>4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28"/>
      <c r="AK56" s="28"/>
      <c r="AL56" s="28"/>
      <c r="AM56" s="28"/>
      <c r="AN56" s="28"/>
    </row>
    <row r="57" spans="1:51" s="31" customFormat="1">
      <c r="A57" s="29" t="s">
        <v>88</v>
      </c>
      <c r="B57" s="6" t="s">
        <v>4</v>
      </c>
      <c r="C57" s="13">
        <f>SUM(C54:C56)</f>
        <v>0</v>
      </c>
      <c r="D57" s="13">
        <f>SUM(D54:D56)</f>
        <v>0</v>
      </c>
      <c r="E57" s="13">
        <f t="shared" ref="E57:AH57" si="59">SUM(E54:E56)</f>
        <v>0</v>
      </c>
      <c r="F57" s="13">
        <f t="shared" si="59"/>
        <v>0</v>
      </c>
      <c r="G57" s="13">
        <f t="shared" si="59"/>
        <v>0</v>
      </c>
      <c r="H57" s="13">
        <f t="shared" si="59"/>
        <v>0</v>
      </c>
      <c r="I57" s="13">
        <f t="shared" si="59"/>
        <v>0</v>
      </c>
      <c r="J57" s="13">
        <f t="shared" si="59"/>
        <v>0</v>
      </c>
      <c r="K57" s="13">
        <f t="shared" si="59"/>
        <v>0</v>
      </c>
      <c r="L57" s="13">
        <f t="shared" si="59"/>
        <v>0</v>
      </c>
      <c r="M57" s="13">
        <f t="shared" si="59"/>
        <v>0</v>
      </c>
      <c r="N57" s="13">
        <f t="shared" si="59"/>
        <v>0</v>
      </c>
      <c r="O57" s="13">
        <f t="shared" si="59"/>
        <v>0</v>
      </c>
      <c r="P57" s="13">
        <f t="shared" si="59"/>
        <v>0</v>
      </c>
      <c r="Q57" s="13">
        <f t="shared" si="59"/>
        <v>0</v>
      </c>
      <c r="R57" s="13">
        <f t="shared" si="59"/>
        <v>0</v>
      </c>
      <c r="S57" s="13">
        <f t="shared" si="59"/>
        <v>0</v>
      </c>
      <c r="T57" s="13">
        <f t="shared" si="59"/>
        <v>0</v>
      </c>
      <c r="U57" s="13">
        <f t="shared" si="59"/>
        <v>0</v>
      </c>
      <c r="V57" s="13">
        <f t="shared" si="59"/>
        <v>0</v>
      </c>
      <c r="W57" s="13">
        <f t="shared" si="59"/>
        <v>0</v>
      </c>
      <c r="X57" s="13">
        <f t="shared" si="59"/>
        <v>0</v>
      </c>
      <c r="Y57" s="13">
        <f t="shared" si="59"/>
        <v>0</v>
      </c>
      <c r="Z57" s="13">
        <f t="shared" si="59"/>
        <v>0</v>
      </c>
      <c r="AA57" s="13">
        <f t="shared" si="59"/>
        <v>0</v>
      </c>
      <c r="AB57" s="13">
        <f t="shared" si="59"/>
        <v>0</v>
      </c>
      <c r="AC57" s="13">
        <f t="shared" si="59"/>
        <v>0</v>
      </c>
      <c r="AD57" s="13">
        <f t="shared" si="59"/>
        <v>0</v>
      </c>
      <c r="AE57" s="13">
        <f t="shared" si="59"/>
        <v>0</v>
      </c>
      <c r="AF57" s="13">
        <f t="shared" si="59"/>
        <v>0</v>
      </c>
      <c r="AG57" s="13">
        <f t="shared" si="59"/>
        <v>0</v>
      </c>
      <c r="AH57" s="13">
        <f t="shared" si="59"/>
        <v>0</v>
      </c>
      <c r="AI57" s="13">
        <f>SUM(AI54:AI56)</f>
        <v>-51157</v>
      </c>
      <c r="AJ57" s="28"/>
      <c r="AK57" s="28"/>
      <c r="AL57" s="28"/>
      <c r="AM57" s="28"/>
      <c r="AN57" s="28"/>
    </row>
    <row r="58" spans="1:51" s="35" customFormat="1">
      <c r="A58" s="87" t="s">
        <v>89</v>
      </c>
      <c r="B58" s="42" t="s">
        <v>4</v>
      </c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8"/>
      <c r="AG58" s="37"/>
      <c r="AH58" s="37"/>
      <c r="AI58" s="38">
        <v>0</v>
      </c>
      <c r="AJ58" s="36"/>
      <c r="AK58" s="36"/>
      <c r="AL58" s="36"/>
      <c r="AM58" s="36"/>
      <c r="AN58" s="36"/>
    </row>
    <row r="59" spans="1:51" s="35" customFormat="1">
      <c r="A59" s="87" t="s">
        <v>90</v>
      </c>
      <c r="B59" s="42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8"/>
      <c r="AG59" s="37"/>
      <c r="AH59" s="37"/>
      <c r="AI59" s="38">
        <v>20401</v>
      </c>
      <c r="AJ59" s="36"/>
      <c r="AK59" s="36"/>
      <c r="AL59" s="36"/>
      <c r="AM59" s="36"/>
      <c r="AN59" s="36"/>
    </row>
    <row r="60" spans="1:51" s="31" customFormat="1">
      <c r="A60" s="29" t="s">
        <v>92</v>
      </c>
      <c r="B60" s="29" t="s">
        <v>4</v>
      </c>
      <c r="C60" s="13">
        <f t="shared" ref="C60:AH60" si="60">SUM(C57:C59,C53)</f>
        <v>0</v>
      </c>
      <c r="D60" s="13">
        <f t="shared" si="60"/>
        <v>0</v>
      </c>
      <c r="E60" s="13">
        <f t="shared" si="60"/>
        <v>0</v>
      </c>
      <c r="F60" s="13">
        <f t="shared" si="60"/>
        <v>0</v>
      </c>
      <c r="G60" s="13">
        <f t="shared" si="60"/>
        <v>0</v>
      </c>
      <c r="H60" s="13">
        <f t="shared" si="60"/>
        <v>0</v>
      </c>
      <c r="I60" s="13">
        <f t="shared" si="60"/>
        <v>0</v>
      </c>
      <c r="J60" s="13">
        <f t="shared" si="60"/>
        <v>0</v>
      </c>
      <c r="K60" s="13">
        <f t="shared" si="60"/>
        <v>0</v>
      </c>
      <c r="L60" s="13">
        <f t="shared" si="60"/>
        <v>0</v>
      </c>
      <c r="M60" s="13">
        <f t="shared" si="60"/>
        <v>0</v>
      </c>
      <c r="N60" s="13">
        <f t="shared" si="60"/>
        <v>0</v>
      </c>
      <c r="O60" s="13">
        <f t="shared" si="60"/>
        <v>0</v>
      </c>
      <c r="P60" s="13">
        <f t="shared" si="60"/>
        <v>0</v>
      </c>
      <c r="Q60" s="13">
        <f t="shared" si="60"/>
        <v>0</v>
      </c>
      <c r="R60" s="13">
        <f t="shared" si="60"/>
        <v>0</v>
      </c>
      <c r="S60" s="13">
        <f t="shared" si="60"/>
        <v>0</v>
      </c>
      <c r="T60" s="13">
        <f t="shared" si="60"/>
        <v>0</v>
      </c>
      <c r="U60" s="13">
        <f t="shared" si="60"/>
        <v>0</v>
      </c>
      <c r="V60" s="13">
        <f t="shared" si="60"/>
        <v>0</v>
      </c>
      <c r="W60" s="13">
        <f t="shared" si="60"/>
        <v>0</v>
      </c>
      <c r="X60" s="13">
        <f t="shared" si="60"/>
        <v>0</v>
      </c>
      <c r="Y60" s="13">
        <f t="shared" si="60"/>
        <v>0</v>
      </c>
      <c r="Z60" s="13">
        <f t="shared" si="60"/>
        <v>0</v>
      </c>
      <c r="AA60" s="13">
        <f t="shared" si="60"/>
        <v>0</v>
      </c>
      <c r="AB60" s="13">
        <f t="shared" si="60"/>
        <v>0</v>
      </c>
      <c r="AC60" s="13">
        <f t="shared" si="60"/>
        <v>0</v>
      </c>
      <c r="AD60" s="13">
        <f t="shared" si="60"/>
        <v>0</v>
      </c>
      <c r="AE60" s="13">
        <f t="shared" si="60"/>
        <v>0</v>
      </c>
      <c r="AF60" s="13">
        <f t="shared" si="60"/>
        <v>0</v>
      </c>
      <c r="AG60" s="13">
        <f t="shared" si="60"/>
        <v>0</v>
      </c>
      <c r="AH60" s="13">
        <f t="shared" si="60"/>
        <v>0</v>
      </c>
      <c r="AI60" s="13">
        <f>SUM(AI57:AI59,AI53)</f>
        <v>153238</v>
      </c>
      <c r="AJ60" s="28"/>
      <c r="AK60" s="28"/>
      <c r="AL60" s="28"/>
      <c r="AM60" s="28"/>
      <c r="AN60" s="28"/>
    </row>
    <row r="61" spans="1:51">
      <c r="A61" s="88" t="s">
        <v>93</v>
      </c>
      <c r="B61" t="s">
        <v>4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12">
        <v>-2144</v>
      </c>
      <c r="AJ61" s="36"/>
      <c r="AK61" s="36"/>
      <c r="AL61" s="36"/>
      <c r="AM61" s="36"/>
      <c r="AN61" s="36"/>
    </row>
    <row r="62" spans="1:51">
      <c r="A62" s="88" t="s">
        <v>94</v>
      </c>
      <c r="B62" t="s">
        <v>4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12">
        <v>4269</v>
      </c>
      <c r="AJ62" s="36"/>
      <c r="AK62" s="36"/>
      <c r="AL62" s="36"/>
      <c r="AM62" s="36"/>
      <c r="AN62" s="36"/>
      <c r="AQ62" s="59"/>
    </row>
    <row r="63" spans="1:51">
      <c r="A63" s="9" t="s">
        <v>95</v>
      </c>
      <c r="B63" t="s">
        <v>4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1"/>
      <c r="AG63" s="1"/>
      <c r="AH63" s="1"/>
      <c r="AI63" s="12">
        <v>-37681</v>
      </c>
      <c r="AJ63" s="36"/>
      <c r="AK63" s="36"/>
      <c r="AL63" s="36"/>
      <c r="AM63" s="36"/>
      <c r="AN63" s="36"/>
      <c r="AO63" s="36"/>
      <c r="AP63" s="36"/>
      <c r="AQ63" s="36"/>
      <c r="AR63" s="36"/>
      <c r="AS63" s="17"/>
      <c r="AT63" s="17"/>
      <c r="AU63" s="17"/>
      <c r="AV63" s="17"/>
      <c r="AW63" s="17"/>
      <c r="AX63" s="17"/>
      <c r="AY63" s="17"/>
    </row>
    <row r="64" spans="1:51" s="19" customFormat="1">
      <c r="A64" s="21" t="s">
        <v>3</v>
      </c>
      <c r="B64" s="6" t="s">
        <v>4</v>
      </c>
      <c r="C64" s="13">
        <f t="shared" ref="C64:AH64" si="61">SUM(C61:C63)</f>
        <v>0</v>
      </c>
      <c r="D64" s="13">
        <f t="shared" si="61"/>
        <v>0</v>
      </c>
      <c r="E64" s="13">
        <f t="shared" si="61"/>
        <v>0</v>
      </c>
      <c r="F64" s="13">
        <f t="shared" si="61"/>
        <v>0</v>
      </c>
      <c r="G64" s="13">
        <f t="shared" si="61"/>
        <v>0</v>
      </c>
      <c r="H64" s="13">
        <f t="shared" si="61"/>
        <v>0</v>
      </c>
      <c r="I64" s="13">
        <f t="shared" si="61"/>
        <v>0</v>
      </c>
      <c r="J64" s="13">
        <f t="shared" si="61"/>
        <v>0</v>
      </c>
      <c r="K64" s="13">
        <f t="shared" si="61"/>
        <v>0</v>
      </c>
      <c r="L64" s="13">
        <f t="shared" si="61"/>
        <v>0</v>
      </c>
      <c r="M64" s="13">
        <f t="shared" si="61"/>
        <v>0</v>
      </c>
      <c r="N64" s="13">
        <f t="shared" si="61"/>
        <v>0</v>
      </c>
      <c r="O64" s="13">
        <f t="shared" si="61"/>
        <v>0</v>
      </c>
      <c r="P64" s="13">
        <f t="shared" si="61"/>
        <v>0</v>
      </c>
      <c r="Q64" s="13">
        <f t="shared" si="61"/>
        <v>0</v>
      </c>
      <c r="R64" s="13">
        <f t="shared" si="61"/>
        <v>0</v>
      </c>
      <c r="S64" s="13">
        <f t="shared" si="61"/>
        <v>0</v>
      </c>
      <c r="T64" s="13">
        <f t="shared" si="61"/>
        <v>0</v>
      </c>
      <c r="U64" s="13">
        <f t="shared" si="61"/>
        <v>0</v>
      </c>
      <c r="V64" s="13">
        <f t="shared" si="61"/>
        <v>0</v>
      </c>
      <c r="W64" s="13">
        <f t="shared" si="61"/>
        <v>0</v>
      </c>
      <c r="X64" s="13">
        <f t="shared" si="61"/>
        <v>0</v>
      </c>
      <c r="Y64" s="13">
        <f t="shared" si="61"/>
        <v>0</v>
      </c>
      <c r="Z64" s="13">
        <f t="shared" si="61"/>
        <v>0</v>
      </c>
      <c r="AA64" s="13">
        <f t="shared" si="61"/>
        <v>0</v>
      </c>
      <c r="AB64" s="13">
        <f t="shared" si="61"/>
        <v>0</v>
      </c>
      <c r="AC64" s="13">
        <f t="shared" si="61"/>
        <v>0</v>
      </c>
      <c r="AD64" s="13">
        <f t="shared" si="61"/>
        <v>0</v>
      </c>
      <c r="AE64" s="13">
        <f t="shared" si="61"/>
        <v>0</v>
      </c>
      <c r="AF64" s="13">
        <f t="shared" si="61"/>
        <v>0</v>
      </c>
      <c r="AG64" s="13">
        <f t="shared" si="61"/>
        <v>0</v>
      </c>
      <c r="AH64" s="13">
        <f t="shared" si="61"/>
        <v>0</v>
      </c>
      <c r="AI64" s="13">
        <f>SUM(AI61:AI63)</f>
        <v>-35556</v>
      </c>
      <c r="AJ64" s="43"/>
      <c r="AK64" s="43"/>
      <c r="AL64" s="43"/>
      <c r="AM64" s="43"/>
      <c r="AN64" s="43"/>
      <c r="AO64" s="52"/>
      <c r="AP64" s="52"/>
      <c r="AQ64" s="52"/>
      <c r="AR64" s="52"/>
    </row>
    <row r="65" spans="1:40">
      <c r="A65" s="6" t="s">
        <v>96</v>
      </c>
      <c r="B65" s="6" t="s">
        <v>4</v>
      </c>
      <c r="C65" s="13">
        <f t="shared" ref="C65:AH65" si="62">SUM(C64,C60)</f>
        <v>0</v>
      </c>
      <c r="D65" s="13">
        <f t="shared" si="62"/>
        <v>0</v>
      </c>
      <c r="E65" s="13">
        <f t="shared" si="62"/>
        <v>0</v>
      </c>
      <c r="F65" s="13">
        <f t="shared" si="62"/>
        <v>0</v>
      </c>
      <c r="G65" s="13">
        <f t="shared" si="62"/>
        <v>0</v>
      </c>
      <c r="H65" s="13">
        <f t="shared" si="62"/>
        <v>0</v>
      </c>
      <c r="I65" s="13">
        <f t="shared" si="62"/>
        <v>0</v>
      </c>
      <c r="J65" s="13">
        <f t="shared" si="62"/>
        <v>0</v>
      </c>
      <c r="K65" s="13">
        <f t="shared" si="62"/>
        <v>0</v>
      </c>
      <c r="L65" s="13">
        <f t="shared" si="62"/>
        <v>0</v>
      </c>
      <c r="M65" s="13">
        <f t="shared" si="62"/>
        <v>0</v>
      </c>
      <c r="N65" s="13">
        <f t="shared" si="62"/>
        <v>0</v>
      </c>
      <c r="O65" s="13">
        <f t="shared" si="62"/>
        <v>0</v>
      </c>
      <c r="P65" s="13">
        <f t="shared" si="62"/>
        <v>0</v>
      </c>
      <c r="Q65" s="13">
        <f t="shared" si="62"/>
        <v>0</v>
      </c>
      <c r="R65" s="13">
        <f t="shared" si="62"/>
        <v>0</v>
      </c>
      <c r="S65" s="13">
        <f t="shared" si="62"/>
        <v>0</v>
      </c>
      <c r="T65" s="13">
        <f t="shared" si="62"/>
        <v>0</v>
      </c>
      <c r="U65" s="13">
        <f t="shared" si="62"/>
        <v>0</v>
      </c>
      <c r="V65" s="13">
        <f t="shared" si="62"/>
        <v>0</v>
      </c>
      <c r="W65" s="13">
        <f t="shared" si="62"/>
        <v>0</v>
      </c>
      <c r="X65" s="13">
        <f t="shared" si="62"/>
        <v>0</v>
      </c>
      <c r="Y65" s="13">
        <f t="shared" si="62"/>
        <v>0</v>
      </c>
      <c r="Z65" s="13">
        <f t="shared" si="62"/>
        <v>0</v>
      </c>
      <c r="AA65" s="13">
        <f t="shared" si="62"/>
        <v>0</v>
      </c>
      <c r="AB65" s="13">
        <f t="shared" si="62"/>
        <v>0</v>
      </c>
      <c r="AC65" s="13">
        <f t="shared" si="62"/>
        <v>0</v>
      </c>
      <c r="AD65" s="13">
        <f t="shared" si="62"/>
        <v>0</v>
      </c>
      <c r="AE65" s="13">
        <f t="shared" si="62"/>
        <v>0</v>
      </c>
      <c r="AF65" s="13">
        <f t="shared" si="62"/>
        <v>0</v>
      </c>
      <c r="AG65" s="13">
        <f t="shared" si="62"/>
        <v>0</v>
      </c>
      <c r="AH65" s="13">
        <f t="shared" si="62"/>
        <v>0</v>
      </c>
      <c r="AI65" s="13">
        <f>SUM(AI64,AI60)</f>
        <v>117682</v>
      </c>
      <c r="AJ65" s="36"/>
      <c r="AK65" s="36"/>
      <c r="AL65" s="36"/>
      <c r="AM65" s="36"/>
      <c r="AN65" s="36"/>
    </row>
    <row r="66" spans="1:40">
      <c r="A66" s="16" t="s">
        <v>97</v>
      </c>
      <c r="B66" s="16" t="s">
        <v>4</v>
      </c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89"/>
      <c r="AF66" s="89"/>
      <c r="AG66" s="89"/>
      <c r="AH66" s="89"/>
      <c r="AI66" s="58">
        <v>618</v>
      </c>
      <c r="AJ66" s="36"/>
      <c r="AK66" s="36"/>
      <c r="AL66" s="36"/>
      <c r="AM66" s="36"/>
      <c r="AN66" s="36"/>
    </row>
    <row r="67" spans="1:40">
      <c r="A67" s="6" t="s">
        <v>98</v>
      </c>
      <c r="B67" s="6" t="s">
        <v>4</v>
      </c>
      <c r="C67" s="13">
        <f t="shared" ref="C67:AH67" si="63">SUM(C65:C66)</f>
        <v>0</v>
      </c>
      <c r="D67" s="13">
        <f t="shared" si="63"/>
        <v>0</v>
      </c>
      <c r="E67" s="13">
        <f t="shared" si="63"/>
        <v>0</v>
      </c>
      <c r="F67" s="13">
        <f t="shared" si="63"/>
        <v>0</v>
      </c>
      <c r="G67" s="13">
        <f t="shared" si="63"/>
        <v>0</v>
      </c>
      <c r="H67" s="13">
        <f t="shared" si="63"/>
        <v>0</v>
      </c>
      <c r="I67" s="13">
        <f t="shared" si="63"/>
        <v>0</v>
      </c>
      <c r="J67" s="13">
        <f t="shared" si="63"/>
        <v>0</v>
      </c>
      <c r="K67" s="13">
        <f t="shared" si="63"/>
        <v>0</v>
      </c>
      <c r="L67" s="13">
        <f t="shared" si="63"/>
        <v>0</v>
      </c>
      <c r="M67" s="13">
        <f t="shared" si="63"/>
        <v>0</v>
      </c>
      <c r="N67" s="13">
        <f t="shared" si="63"/>
        <v>0</v>
      </c>
      <c r="O67" s="13">
        <f t="shared" si="63"/>
        <v>0</v>
      </c>
      <c r="P67" s="13">
        <f t="shared" si="63"/>
        <v>0</v>
      </c>
      <c r="Q67" s="13">
        <f t="shared" si="63"/>
        <v>0</v>
      </c>
      <c r="R67" s="13">
        <f t="shared" si="63"/>
        <v>0</v>
      </c>
      <c r="S67" s="13">
        <f t="shared" si="63"/>
        <v>0</v>
      </c>
      <c r="T67" s="13">
        <f t="shared" si="63"/>
        <v>0</v>
      </c>
      <c r="U67" s="13">
        <f t="shared" si="63"/>
        <v>0</v>
      </c>
      <c r="V67" s="13">
        <f t="shared" si="63"/>
        <v>0</v>
      </c>
      <c r="W67" s="13">
        <f t="shared" si="63"/>
        <v>0</v>
      </c>
      <c r="X67" s="13">
        <f t="shared" si="63"/>
        <v>0</v>
      </c>
      <c r="Y67" s="13">
        <f t="shared" si="63"/>
        <v>0</v>
      </c>
      <c r="Z67" s="13">
        <f t="shared" si="63"/>
        <v>0</v>
      </c>
      <c r="AA67" s="13">
        <f t="shared" si="63"/>
        <v>0</v>
      </c>
      <c r="AB67" s="13">
        <f t="shared" si="63"/>
        <v>0</v>
      </c>
      <c r="AC67" s="13">
        <f t="shared" si="63"/>
        <v>0</v>
      </c>
      <c r="AD67" s="13">
        <f t="shared" si="63"/>
        <v>0</v>
      </c>
      <c r="AE67" s="13">
        <f t="shared" si="63"/>
        <v>0</v>
      </c>
      <c r="AF67" s="13">
        <f t="shared" si="63"/>
        <v>0</v>
      </c>
      <c r="AG67" s="13">
        <f t="shared" si="63"/>
        <v>0</v>
      </c>
      <c r="AH67" s="13">
        <f t="shared" si="63"/>
        <v>0</v>
      </c>
      <c r="AI67" s="13">
        <f>SUM(AI65:AI66)</f>
        <v>118300</v>
      </c>
      <c r="AJ67" s="36"/>
      <c r="AK67" s="36"/>
      <c r="AL67" s="36"/>
      <c r="AM67" s="36"/>
      <c r="AN67" s="36"/>
    </row>
    <row r="68" spans="1:40">
      <c r="A68" s="9" t="s">
        <v>99</v>
      </c>
      <c r="B68" s="16" t="s">
        <v>4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7"/>
      <c r="AG68" s="17"/>
      <c r="AH68" s="17"/>
      <c r="AI68" s="12">
        <v>97099</v>
      </c>
      <c r="AJ68" s="36"/>
      <c r="AK68" s="36"/>
      <c r="AL68" s="36"/>
      <c r="AM68" s="36"/>
      <c r="AN68" s="36"/>
    </row>
    <row r="69" spans="1:40">
      <c r="A69" s="9" t="s">
        <v>100</v>
      </c>
      <c r="B69" s="16" t="s">
        <v>4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>
        <v>21201</v>
      </c>
      <c r="AJ69" s="36"/>
      <c r="AL69" s="36"/>
      <c r="AM69" s="36"/>
      <c r="AN69" s="36"/>
    </row>
    <row r="70" spans="1:40">
      <c r="A70" s="10"/>
      <c r="B70" s="16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4"/>
      <c r="AJ70" s="36"/>
      <c r="AK70" s="36"/>
      <c r="AL70" s="36"/>
      <c r="AM70" s="36"/>
      <c r="AN70" s="36"/>
    </row>
    <row r="71" spans="1:40">
      <c r="A71" s="16"/>
      <c r="B71" s="16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5"/>
      <c r="AJ71" s="36"/>
      <c r="AK71" s="36"/>
      <c r="AL71" s="36"/>
      <c r="AM71" s="36"/>
      <c r="AN71" s="36"/>
    </row>
    <row r="72" spans="1:40">
      <c r="A72" s="76" t="s">
        <v>7</v>
      </c>
      <c r="B72" s="77"/>
      <c r="C72" s="78"/>
      <c r="D72" s="78"/>
      <c r="E72" s="78"/>
      <c r="F72" s="78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8"/>
    </row>
    <row r="73" spans="1:40">
      <c r="A73" s="16" t="s">
        <v>102</v>
      </c>
      <c r="B73" s="16" t="s">
        <v>4</v>
      </c>
      <c r="C73" s="12">
        <f t="shared" ref="C73" si="64">C65</f>
        <v>0</v>
      </c>
      <c r="D73" s="12">
        <f t="shared" ref="D73:AH73" si="65">D65</f>
        <v>0</v>
      </c>
      <c r="E73" s="12">
        <f t="shared" si="65"/>
        <v>0</v>
      </c>
      <c r="F73" s="12">
        <f t="shared" si="65"/>
        <v>0</v>
      </c>
      <c r="G73" s="12">
        <f t="shared" si="65"/>
        <v>0</v>
      </c>
      <c r="H73" s="12">
        <f t="shared" si="65"/>
        <v>0</v>
      </c>
      <c r="I73" s="12">
        <f t="shared" si="65"/>
        <v>0</v>
      </c>
      <c r="J73" s="12">
        <f t="shared" si="65"/>
        <v>0</v>
      </c>
      <c r="K73" s="12">
        <f t="shared" si="65"/>
        <v>0</v>
      </c>
      <c r="L73" s="12">
        <f t="shared" si="65"/>
        <v>0</v>
      </c>
      <c r="M73" s="12">
        <f t="shared" si="65"/>
        <v>0</v>
      </c>
      <c r="N73" s="12">
        <f t="shared" si="65"/>
        <v>0</v>
      </c>
      <c r="O73" s="12">
        <f t="shared" si="65"/>
        <v>0</v>
      </c>
      <c r="P73" s="12">
        <f t="shared" si="65"/>
        <v>0</v>
      </c>
      <c r="Q73" s="12">
        <f t="shared" si="65"/>
        <v>0</v>
      </c>
      <c r="R73" s="12">
        <f t="shared" si="65"/>
        <v>0</v>
      </c>
      <c r="S73" s="12">
        <f t="shared" si="65"/>
        <v>0</v>
      </c>
      <c r="T73" s="12">
        <f t="shared" si="65"/>
        <v>0</v>
      </c>
      <c r="U73" s="12">
        <f t="shared" si="65"/>
        <v>0</v>
      </c>
      <c r="V73" s="12">
        <f t="shared" si="65"/>
        <v>0</v>
      </c>
      <c r="W73" s="12">
        <f t="shared" si="65"/>
        <v>0</v>
      </c>
      <c r="X73" s="12">
        <f t="shared" si="65"/>
        <v>0</v>
      </c>
      <c r="Y73" s="12">
        <f t="shared" si="65"/>
        <v>0</v>
      </c>
      <c r="Z73" s="12">
        <f t="shared" si="65"/>
        <v>0</v>
      </c>
      <c r="AA73" s="12">
        <f t="shared" si="65"/>
        <v>0</v>
      </c>
      <c r="AB73" s="12">
        <f t="shared" si="65"/>
        <v>0</v>
      </c>
      <c r="AC73" s="12">
        <f t="shared" si="65"/>
        <v>0</v>
      </c>
      <c r="AD73" s="12">
        <f t="shared" si="65"/>
        <v>0</v>
      </c>
      <c r="AE73" s="12">
        <f t="shared" si="65"/>
        <v>0</v>
      </c>
      <c r="AF73" s="12">
        <f t="shared" si="65"/>
        <v>0</v>
      </c>
      <c r="AG73" s="12">
        <f t="shared" si="65"/>
        <v>0</v>
      </c>
      <c r="AH73" s="12">
        <f t="shared" si="65"/>
        <v>0</v>
      </c>
      <c r="AI73" s="12">
        <f>AI65</f>
        <v>117682</v>
      </c>
      <c r="AJ73" s="36"/>
      <c r="AK73" s="36"/>
      <c r="AL73" s="36"/>
      <c r="AM73" s="36"/>
      <c r="AN73" s="36"/>
    </row>
    <row r="74" spans="1:40">
      <c r="A74" s="16" t="s">
        <v>103</v>
      </c>
      <c r="B74" s="16" t="s">
        <v>4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2">
        <v>66238</v>
      </c>
      <c r="AJ74" s="36"/>
      <c r="AK74" s="36"/>
      <c r="AL74" s="36"/>
      <c r="AM74" s="36"/>
      <c r="AN74" s="36"/>
    </row>
    <row r="75" spans="1:40">
      <c r="A75" s="16" t="s">
        <v>104</v>
      </c>
      <c r="B75" s="16" t="s">
        <v>4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7"/>
      <c r="Y75" s="17"/>
      <c r="Z75" s="17"/>
      <c r="AA75" s="17"/>
      <c r="AB75" s="17"/>
      <c r="AC75" s="17"/>
      <c r="AD75" s="17"/>
      <c r="AE75" s="17"/>
      <c r="AF75" s="12"/>
      <c r="AG75" s="12"/>
      <c r="AH75" s="12"/>
      <c r="AI75" s="12">
        <v>28836</v>
      </c>
      <c r="AJ75" s="36"/>
      <c r="AK75" s="36"/>
      <c r="AL75" s="36"/>
      <c r="AM75" s="36"/>
      <c r="AN75" s="36"/>
    </row>
    <row r="76" spans="1:40">
      <c r="A76" s="16" t="s">
        <v>105</v>
      </c>
      <c r="B76" s="16" t="s">
        <v>4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2"/>
      <c r="V76" s="12"/>
      <c r="W76" s="12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5">
        <v>0</v>
      </c>
      <c r="AJ76" s="36"/>
      <c r="AK76" s="36"/>
      <c r="AL76" s="36"/>
      <c r="AM76" s="36"/>
      <c r="AN76" s="36"/>
    </row>
    <row r="77" spans="1:40">
      <c r="A77" s="16" t="s">
        <v>106</v>
      </c>
      <c r="B77" s="16" t="s">
        <v>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2"/>
      <c r="V77" s="12"/>
      <c r="W77" s="12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5">
        <v>1183</v>
      </c>
      <c r="AJ77" s="36"/>
      <c r="AK77" s="36"/>
      <c r="AL77" s="36"/>
      <c r="AM77" s="36"/>
      <c r="AN77" s="36"/>
    </row>
    <row r="78" spans="1:40">
      <c r="A78" s="16" t="s">
        <v>107</v>
      </c>
      <c r="B78" s="16" t="s">
        <v>4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5">
        <v>-3047</v>
      </c>
      <c r="AJ78" s="36"/>
      <c r="AK78" s="36"/>
      <c r="AL78" s="36"/>
      <c r="AM78" s="36"/>
      <c r="AN78" s="36"/>
    </row>
    <row r="79" spans="1:40">
      <c r="A79" s="16" t="s">
        <v>108</v>
      </c>
      <c r="B79" s="16" t="s">
        <v>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7"/>
      <c r="AG79" s="17"/>
      <c r="AH79" s="12"/>
      <c r="AI79" s="15">
        <v>1354</v>
      </c>
      <c r="AJ79" s="36"/>
      <c r="AK79" s="36"/>
      <c r="AL79" s="36"/>
      <c r="AM79" s="36"/>
      <c r="AN79" s="36"/>
    </row>
    <row r="80" spans="1:40">
      <c r="A80" s="16" t="s">
        <v>109</v>
      </c>
      <c r="B80" s="16" t="s">
        <v>4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5"/>
      <c r="R80" s="15"/>
      <c r="S80" s="15"/>
      <c r="T80" s="15"/>
      <c r="U80" s="12"/>
      <c r="V80" s="12"/>
      <c r="W80" s="12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5">
        <v>32518</v>
      </c>
      <c r="AJ80" s="36"/>
      <c r="AK80" s="36"/>
      <c r="AL80" s="36"/>
      <c r="AM80" s="36"/>
      <c r="AN80" s="36"/>
    </row>
    <row r="81" spans="1:40">
      <c r="A81" s="16" t="s">
        <v>110</v>
      </c>
      <c r="B81" s="16" t="s">
        <v>4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7"/>
      <c r="AF81" s="17"/>
      <c r="AG81" s="17"/>
      <c r="AH81" s="17"/>
      <c r="AI81" s="5">
        <v>-5225</v>
      </c>
      <c r="AJ81" s="36"/>
      <c r="AK81" s="36"/>
      <c r="AL81" s="36"/>
      <c r="AM81" s="36"/>
      <c r="AN81" s="36"/>
    </row>
    <row r="82" spans="1:40">
      <c r="A82" s="16" t="s">
        <v>111</v>
      </c>
      <c r="B82" s="16" t="s">
        <v>4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5"/>
      <c r="R82" s="15"/>
      <c r="S82" s="15"/>
      <c r="T82" s="15"/>
      <c r="U82" s="15"/>
      <c r="V82" s="15"/>
      <c r="W82" s="15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5">
        <v>108</v>
      </c>
      <c r="AJ82" s="36"/>
      <c r="AK82" s="36"/>
      <c r="AL82" s="36"/>
      <c r="AM82" s="36"/>
      <c r="AN82" s="36"/>
    </row>
    <row r="83" spans="1:40">
      <c r="A83" s="16" t="s">
        <v>112</v>
      </c>
      <c r="B83" s="16" t="s">
        <v>4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2"/>
      <c r="V83" s="12"/>
      <c r="W83" s="12"/>
      <c r="X83" s="17"/>
      <c r="Y83" s="12"/>
      <c r="Z83" s="12"/>
      <c r="AA83" s="12"/>
      <c r="AB83" s="12"/>
      <c r="AC83" s="12"/>
      <c r="AD83" s="12"/>
      <c r="AE83" s="12"/>
      <c r="AF83" s="12"/>
      <c r="AG83" s="12"/>
      <c r="AH83" s="17"/>
      <c r="AI83" s="15">
        <v>-6789</v>
      </c>
      <c r="AJ83" s="36"/>
      <c r="AK83" s="36"/>
      <c r="AL83" s="36"/>
      <c r="AM83" s="36"/>
      <c r="AN83" s="36"/>
    </row>
    <row r="84" spans="1:40">
      <c r="A84" s="9" t="s">
        <v>113</v>
      </c>
      <c r="B84" s="16" t="s">
        <v>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7"/>
      <c r="AG84" s="17"/>
      <c r="AH84" s="17"/>
      <c r="AI84" s="15">
        <v>23807</v>
      </c>
      <c r="AJ84" s="36"/>
      <c r="AK84" s="36"/>
      <c r="AL84" s="36"/>
      <c r="AM84" s="36"/>
      <c r="AN84" s="36"/>
    </row>
    <row r="85" spans="1:40">
      <c r="A85" s="9" t="s">
        <v>114</v>
      </c>
      <c r="B85" s="16" t="s">
        <v>4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15"/>
      <c r="T85" s="15"/>
      <c r="U85" s="12"/>
      <c r="V85" s="12"/>
      <c r="W85" s="12"/>
      <c r="X85" s="12"/>
      <c r="Y85" s="17"/>
      <c r="Z85" s="17"/>
      <c r="AA85" s="17"/>
      <c r="AB85" s="17"/>
      <c r="AC85" s="17"/>
      <c r="AD85" s="15"/>
      <c r="AE85" s="17"/>
      <c r="AF85" s="17"/>
      <c r="AG85" s="17"/>
      <c r="AH85" s="17"/>
      <c r="AI85" s="5">
        <v>-42481</v>
      </c>
      <c r="AJ85" s="36"/>
      <c r="AK85" s="36"/>
      <c r="AL85" s="36"/>
      <c r="AM85" s="36"/>
      <c r="AN85" s="36"/>
    </row>
    <row r="86" spans="1:40">
      <c r="A86" s="9" t="s">
        <v>115</v>
      </c>
      <c r="B86" s="16" t="s">
        <v>4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2"/>
      <c r="V86" s="12"/>
      <c r="W86" s="12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5">
        <v>-50441</v>
      </c>
      <c r="AJ86" s="36"/>
      <c r="AK86" s="36"/>
      <c r="AL86" s="36"/>
      <c r="AM86" s="36"/>
      <c r="AN86" s="36"/>
    </row>
    <row r="87" spans="1:40">
      <c r="A87" s="9" t="s">
        <v>39</v>
      </c>
      <c r="B87" s="16" t="s">
        <v>4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12"/>
      <c r="W87" s="5"/>
      <c r="X87" s="12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5">
        <v>-4236</v>
      </c>
      <c r="AJ87" s="36"/>
      <c r="AK87" s="36"/>
      <c r="AL87" s="36"/>
      <c r="AM87" s="36"/>
      <c r="AN87" s="36"/>
    </row>
    <row r="88" spans="1:40">
      <c r="A88" s="9" t="s">
        <v>116</v>
      </c>
      <c r="B88" s="16" t="s">
        <v>4</v>
      </c>
      <c r="C88" s="15"/>
      <c r="D88" s="15"/>
      <c r="E88" s="15"/>
      <c r="F88" s="15"/>
      <c r="G88" s="15"/>
      <c r="H88" s="24"/>
      <c r="I88" s="24"/>
      <c r="J88" s="23"/>
      <c r="K88" s="23"/>
      <c r="L88" s="12"/>
      <c r="M88" s="12"/>
      <c r="N88" s="12"/>
      <c r="O88" s="12"/>
      <c r="P88" s="2"/>
      <c r="Q88" s="17"/>
      <c r="R88" s="17"/>
      <c r="S88" s="17"/>
      <c r="T88" s="17"/>
      <c r="U88" s="12"/>
      <c r="V88" s="12"/>
      <c r="W88" s="12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2">
        <v>934</v>
      </c>
      <c r="AJ88" s="36"/>
      <c r="AK88" s="36"/>
      <c r="AL88" s="36"/>
      <c r="AM88" s="36"/>
      <c r="AN88" s="36"/>
    </row>
    <row r="89" spans="1:40">
      <c r="A89" s="16" t="s">
        <v>117</v>
      </c>
      <c r="B89" s="16" t="s">
        <v>4</v>
      </c>
      <c r="C89" s="15">
        <f t="shared" ref="C89:AH89" si="66">SUM(C84:C88)</f>
        <v>0</v>
      </c>
      <c r="D89" s="15">
        <f t="shared" si="66"/>
        <v>0</v>
      </c>
      <c r="E89" s="15">
        <f t="shared" si="66"/>
        <v>0</v>
      </c>
      <c r="F89" s="15">
        <f t="shared" si="66"/>
        <v>0</v>
      </c>
      <c r="G89" s="15">
        <f t="shared" si="66"/>
        <v>0</v>
      </c>
      <c r="H89" s="15">
        <f t="shared" si="66"/>
        <v>0</v>
      </c>
      <c r="I89" s="15">
        <f t="shared" si="66"/>
        <v>0</v>
      </c>
      <c r="J89" s="15">
        <f t="shared" si="66"/>
        <v>0</v>
      </c>
      <c r="K89" s="15">
        <f t="shared" si="66"/>
        <v>0</v>
      </c>
      <c r="L89" s="15">
        <f t="shared" si="66"/>
        <v>0</v>
      </c>
      <c r="M89" s="15">
        <f t="shared" si="66"/>
        <v>0</v>
      </c>
      <c r="N89" s="15">
        <f t="shared" si="66"/>
        <v>0</v>
      </c>
      <c r="O89" s="15">
        <f t="shared" si="66"/>
        <v>0</v>
      </c>
      <c r="P89" s="15">
        <f t="shared" si="66"/>
        <v>0</v>
      </c>
      <c r="Q89" s="15">
        <f t="shared" si="66"/>
        <v>0</v>
      </c>
      <c r="R89" s="15">
        <f t="shared" si="66"/>
        <v>0</v>
      </c>
      <c r="S89" s="15">
        <f t="shared" si="66"/>
        <v>0</v>
      </c>
      <c r="T89" s="15">
        <f t="shared" si="66"/>
        <v>0</v>
      </c>
      <c r="U89" s="15">
        <f t="shared" si="66"/>
        <v>0</v>
      </c>
      <c r="V89" s="15">
        <f t="shared" si="66"/>
        <v>0</v>
      </c>
      <c r="W89" s="15">
        <f t="shared" si="66"/>
        <v>0</v>
      </c>
      <c r="X89" s="15">
        <f t="shared" si="66"/>
        <v>0</v>
      </c>
      <c r="Y89" s="15">
        <f t="shared" si="66"/>
        <v>0</v>
      </c>
      <c r="Z89" s="15">
        <f t="shared" si="66"/>
        <v>0</v>
      </c>
      <c r="AA89" s="15">
        <f t="shared" si="66"/>
        <v>0</v>
      </c>
      <c r="AB89" s="15">
        <f t="shared" si="66"/>
        <v>0</v>
      </c>
      <c r="AC89" s="15">
        <f t="shared" si="66"/>
        <v>0</v>
      </c>
      <c r="AD89" s="15">
        <f t="shared" si="66"/>
        <v>0</v>
      </c>
      <c r="AE89" s="15">
        <f t="shared" si="66"/>
        <v>0</v>
      </c>
      <c r="AF89" s="15">
        <f t="shared" si="66"/>
        <v>0</v>
      </c>
      <c r="AG89" s="15">
        <f t="shared" si="66"/>
        <v>0</v>
      </c>
      <c r="AH89" s="15">
        <f t="shared" si="66"/>
        <v>0</v>
      </c>
      <c r="AI89" s="15">
        <f>SUM(AI84:AI88)</f>
        <v>-72417</v>
      </c>
      <c r="AJ89" s="36"/>
      <c r="AK89" s="36"/>
      <c r="AL89" s="36"/>
      <c r="AM89" s="36"/>
      <c r="AN89" s="36"/>
    </row>
    <row r="90" spans="1:40">
      <c r="A90" s="9" t="s">
        <v>113</v>
      </c>
      <c r="B90" s="16" t="s">
        <v>4</v>
      </c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7"/>
      <c r="AG90" s="12"/>
      <c r="AH90" s="12"/>
      <c r="AI90" s="12">
        <v>3818</v>
      </c>
      <c r="AJ90" s="36"/>
      <c r="AK90" s="36"/>
      <c r="AL90" s="36"/>
      <c r="AM90" s="36"/>
      <c r="AN90" s="36"/>
    </row>
    <row r="91" spans="1:40">
      <c r="A91" s="9" t="s">
        <v>16</v>
      </c>
      <c r="B91" s="16" t="s">
        <v>4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7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>
        <v>-17364</v>
      </c>
      <c r="AJ91" s="36"/>
      <c r="AK91" s="36"/>
      <c r="AL91" s="36"/>
      <c r="AM91" s="36"/>
      <c r="AN91" s="36"/>
    </row>
    <row r="92" spans="1:40">
      <c r="A92" s="9" t="s">
        <v>118</v>
      </c>
      <c r="B92" s="16" t="s">
        <v>4</v>
      </c>
      <c r="C92" s="12"/>
      <c r="D92" s="12"/>
      <c r="E92" s="12"/>
      <c r="F92" s="12"/>
      <c r="G92" s="12"/>
      <c r="H92" s="12"/>
      <c r="I92" s="12"/>
      <c r="J92" s="17"/>
      <c r="K92" s="12"/>
      <c r="L92" s="12"/>
      <c r="M92" s="12"/>
      <c r="N92" s="12"/>
      <c r="O92" s="12"/>
      <c r="P92" s="12"/>
      <c r="Q92" s="12"/>
      <c r="R92" s="12"/>
      <c r="S92" s="12"/>
      <c r="T92" s="5"/>
      <c r="U92" s="5"/>
      <c r="V92" s="5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2">
        <v>2292</v>
      </c>
      <c r="AJ92" s="36"/>
      <c r="AK92" s="36"/>
      <c r="AL92" s="36"/>
      <c r="AM92" s="36"/>
      <c r="AN92" s="36"/>
    </row>
    <row r="93" spans="1:40">
      <c r="A93" s="9" t="s">
        <v>119</v>
      </c>
      <c r="B93" s="16" t="s">
        <v>4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7"/>
      <c r="V93" s="17"/>
      <c r="W93" s="12"/>
      <c r="X93" s="12"/>
      <c r="Y93" s="12"/>
      <c r="Z93" s="12"/>
      <c r="AA93" s="12"/>
      <c r="AB93" s="12"/>
      <c r="AC93" s="12"/>
      <c r="AD93" s="12"/>
      <c r="AE93" s="12"/>
      <c r="AF93" s="17"/>
      <c r="AG93" s="17"/>
      <c r="AH93" s="17"/>
      <c r="AI93" s="12">
        <v>-5445</v>
      </c>
      <c r="AJ93" s="36"/>
      <c r="AK93" s="36"/>
      <c r="AL93" s="36"/>
      <c r="AM93" s="36"/>
      <c r="AN93" s="36"/>
    </row>
    <row r="94" spans="1:40">
      <c r="A94" s="9" t="s">
        <v>120</v>
      </c>
      <c r="B94" s="16" t="s">
        <v>4</v>
      </c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>
        <v>9481</v>
      </c>
      <c r="AJ94" s="36"/>
      <c r="AK94" s="36"/>
      <c r="AL94" s="36"/>
      <c r="AM94" s="36"/>
      <c r="AN94" s="36"/>
    </row>
    <row r="95" spans="1:40">
      <c r="A95" s="16" t="s">
        <v>121</v>
      </c>
      <c r="B95" s="16" t="s">
        <v>4</v>
      </c>
      <c r="C95" s="12">
        <f t="shared" ref="C95:AH95" si="67">SUM(C90:C94)</f>
        <v>0</v>
      </c>
      <c r="D95" s="12">
        <f t="shared" si="67"/>
        <v>0</v>
      </c>
      <c r="E95" s="12">
        <f t="shared" si="67"/>
        <v>0</v>
      </c>
      <c r="F95" s="12">
        <f t="shared" si="67"/>
        <v>0</v>
      </c>
      <c r="G95" s="12">
        <f t="shared" si="67"/>
        <v>0</v>
      </c>
      <c r="H95" s="12">
        <f t="shared" si="67"/>
        <v>0</v>
      </c>
      <c r="I95" s="12">
        <f t="shared" si="67"/>
        <v>0</v>
      </c>
      <c r="J95" s="12">
        <f t="shared" si="67"/>
        <v>0</v>
      </c>
      <c r="K95" s="12">
        <f t="shared" si="67"/>
        <v>0</v>
      </c>
      <c r="L95" s="12">
        <f t="shared" si="67"/>
        <v>0</v>
      </c>
      <c r="M95" s="12">
        <f t="shared" si="67"/>
        <v>0</v>
      </c>
      <c r="N95" s="12">
        <f t="shared" si="67"/>
        <v>0</v>
      </c>
      <c r="O95" s="12">
        <f t="shared" si="67"/>
        <v>0</v>
      </c>
      <c r="P95" s="12">
        <f t="shared" si="67"/>
        <v>0</v>
      </c>
      <c r="Q95" s="12">
        <f t="shared" si="67"/>
        <v>0</v>
      </c>
      <c r="R95" s="12">
        <f t="shared" si="67"/>
        <v>0</v>
      </c>
      <c r="S95" s="12">
        <f t="shared" si="67"/>
        <v>0</v>
      </c>
      <c r="T95" s="12">
        <f t="shared" si="67"/>
        <v>0</v>
      </c>
      <c r="U95" s="12">
        <f t="shared" si="67"/>
        <v>0</v>
      </c>
      <c r="V95" s="12">
        <f t="shared" si="67"/>
        <v>0</v>
      </c>
      <c r="W95" s="12">
        <f t="shared" si="67"/>
        <v>0</v>
      </c>
      <c r="X95" s="12">
        <f t="shared" si="67"/>
        <v>0</v>
      </c>
      <c r="Y95" s="12">
        <f t="shared" si="67"/>
        <v>0</v>
      </c>
      <c r="Z95" s="12">
        <f t="shared" si="67"/>
        <v>0</v>
      </c>
      <c r="AA95" s="12">
        <f t="shared" si="67"/>
        <v>0</v>
      </c>
      <c r="AB95" s="12">
        <f t="shared" si="67"/>
        <v>0</v>
      </c>
      <c r="AC95" s="12">
        <f t="shared" si="67"/>
        <v>0</v>
      </c>
      <c r="AD95" s="12">
        <f t="shared" si="67"/>
        <v>0</v>
      </c>
      <c r="AE95" s="12">
        <f t="shared" si="67"/>
        <v>0</v>
      </c>
      <c r="AF95" s="12">
        <f t="shared" si="67"/>
        <v>0</v>
      </c>
      <c r="AG95" s="12">
        <f t="shared" si="67"/>
        <v>0</v>
      </c>
      <c r="AH95" s="12">
        <f t="shared" si="67"/>
        <v>0</v>
      </c>
      <c r="AI95" s="12">
        <f>SUM(AI90:AI94)</f>
        <v>-7218</v>
      </c>
      <c r="AJ95" s="36"/>
      <c r="AK95" s="36"/>
      <c r="AL95" s="36"/>
      <c r="AM95" s="36"/>
      <c r="AN95" s="36"/>
    </row>
    <row r="96" spans="1:40">
      <c r="A96" s="16" t="s">
        <v>8</v>
      </c>
      <c r="B96" s="16" t="s">
        <v>4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2">
        <v>-1560</v>
      </c>
      <c r="AJ96" s="36"/>
      <c r="AK96" s="36"/>
      <c r="AL96" s="36"/>
      <c r="AM96" s="36"/>
      <c r="AN96" s="36"/>
    </row>
    <row r="97" spans="1:43">
      <c r="A97" s="16" t="s">
        <v>122</v>
      </c>
      <c r="B97" s="16" t="s">
        <v>4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>
        <v>-7171</v>
      </c>
      <c r="AJ97" s="36"/>
      <c r="AK97" s="36"/>
      <c r="AL97" s="36"/>
      <c r="AM97" s="36"/>
      <c r="AN97" s="36"/>
    </row>
    <row r="98" spans="1:43">
      <c r="A98" s="16" t="s">
        <v>40</v>
      </c>
      <c r="B98" s="16" t="s">
        <v>4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>
        <v>-4903</v>
      </c>
      <c r="AJ98" s="36"/>
      <c r="AK98" s="36"/>
      <c r="AL98" s="36"/>
      <c r="AM98" s="36"/>
      <c r="AN98" s="36"/>
    </row>
    <row r="99" spans="1:43">
      <c r="A99" s="6" t="s">
        <v>123</v>
      </c>
      <c r="B99" s="6" t="s">
        <v>4</v>
      </c>
      <c r="C99" s="13">
        <f t="shared" ref="C99:AH99" si="68">SUM(C95:C98,C89,C73:C83)</f>
        <v>0</v>
      </c>
      <c r="D99" s="13">
        <f t="shared" si="68"/>
        <v>0</v>
      </c>
      <c r="E99" s="13">
        <f t="shared" si="68"/>
        <v>0</v>
      </c>
      <c r="F99" s="13">
        <f t="shared" si="68"/>
        <v>0</v>
      </c>
      <c r="G99" s="13">
        <f t="shared" si="68"/>
        <v>0</v>
      </c>
      <c r="H99" s="13">
        <f t="shared" si="68"/>
        <v>0</v>
      </c>
      <c r="I99" s="13">
        <f t="shared" si="68"/>
        <v>0</v>
      </c>
      <c r="J99" s="13">
        <f t="shared" si="68"/>
        <v>0</v>
      </c>
      <c r="K99" s="13">
        <f t="shared" si="68"/>
        <v>0</v>
      </c>
      <c r="L99" s="13">
        <f t="shared" si="68"/>
        <v>0</v>
      </c>
      <c r="M99" s="13">
        <f t="shared" si="68"/>
        <v>0</v>
      </c>
      <c r="N99" s="13">
        <f t="shared" si="68"/>
        <v>0</v>
      </c>
      <c r="O99" s="13">
        <f t="shared" si="68"/>
        <v>0</v>
      </c>
      <c r="P99" s="13">
        <f t="shared" si="68"/>
        <v>0</v>
      </c>
      <c r="Q99" s="13">
        <f t="shared" si="68"/>
        <v>0</v>
      </c>
      <c r="R99" s="13">
        <f t="shared" si="68"/>
        <v>0</v>
      </c>
      <c r="S99" s="13">
        <f t="shared" si="68"/>
        <v>0</v>
      </c>
      <c r="T99" s="13">
        <f t="shared" si="68"/>
        <v>0</v>
      </c>
      <c r="U99" s="13">
        <f t="shared" si="68"/>
        <v>0</v>
      </c>
      <c r="V99" s="13">
        <f t="shared" si="68"/>
        <v>0</v>
      </c>
      <c r="W99" s="13">
        <f t="shared" si="68"/>
        <v>0</v>
      </c>
      <c r="X99" s="13">
        <f t="shared" si="68"/>
        <v>0</v>
      </c>
      <c r="Y99" s="13">
        <f t="shared" si="68"/>
        <v>0</v>
      </c>
      <c r="Z99" s="13">
        <f t="shared" si="68"/>
        <v>0</v>
      </c>
      <c r="AA99" s="13">
        <f t="shared" si="68"/>
        <v>0</v>
      </c>
      <c r="AB99" s="13">
        <f t="shared" si="68"/>
        <v>0</v>
      </c>
      <c r="AC99" s="13">
        <f t="shared" si="68"/>
        <v>0</v>
      </c>
      <c r="AD99" s="13">
        <f t="shared" si="68"/>
        <v>0</v>
      </c>
      <c r="AE99" s="13">
        <f t="shared" si="68"/>
        <v>0</v>
      </c>
      <c r="AF99" s="13">
        <f t="shared" si="68"/>
        <v>0</v>
      </c>
      <c r="AG99" s="13">
        <f t="shared" si="68"/>
        <v>0</v>
      </c>
      <c r="AH99" s="13">
        <f t="shared" si="68"/>
        <v>0</v>
      </c>
      <c r="AI99" s="13">
        <f>SUM(AI95:AI98,AI89,AI73:AI83)</f>
        <v>139589</v>
      </c>
      <c r="AJ99" s="36"/>
      <c r="AK99" s="36"/>
      <c r="AL99" s="36"/>
      <c r="AM99" s="36"/>
      <c r="AN99" s="36"/>
    </row>
    <row r="100" spans="1:43">
      <c r="A100" s="16" t="s">
        <v>124</v>
      </c>
      <c r="B100" s="16" t="s">
        <v>4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7"/>
      <c r="Y100" s="17"/>
      <c r="Z100" s="12"/>
      <c r="AA100" s="12"/>
      <c r="AB100" s="12"/>
      <c r="AC100" s="12"/>
      <c r="AD100" s="12"/>
      <c r="AE100" s="12"/>
      <c r="AF100" s="17"/>
      <c r="AG100" s="17"/>
      <c r="AH100" s="17"/>
      <c r="AI100" s="12">
        <v>499</v>
      </c>
      <c r="AJ100" s="36"/>
      <c r="AK100" s="36"/>
      <c r="AL100" s="36"/>
      <c r="AM100" s="36"/>
      <c r="AN100" s="36"/>
    </row>
    <row r="101" spans="1:43">
      <c r="A101" s="16" t="s">
        <v>125</v>
      </c>
      <c r="B101" s="16" t="s">
        <v>4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>
        <v>-48631</v>
      </c>
      <c r="AJ101" s="36"/>
      <c r="AK101" s="36"/>
      <c r="AL101" s="36"/>
      <c r="AM101" s="36"/>
      <c r="AN101" s="36"/>
    </row>
    <row r="102" spans="1:43">
      <c r="A102" s="16" t="s">
        <v>126</v>
      </c>
      <c r="B102" s="16" t="s">
        <v>4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>
        <v>-2473</v>
      </c>
      <c r="AJ102" s="36"/>
      <c r="AK102" s="36"/>
      <c r="AL102" s="36"/>
      <c r="AM102" s="36"/>
      <c r="AN102" s="36"/>
    </row>
    <row r="103" spans="1:43">
      <c r="A103" s="16" t="s">
        <v>127</v>
      </c>
      <c r="B103" s="16" t="s">
        <v>4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>
        <v>0</v>
      </c>
      <c r="AJ103" s="36"/>
      <c r="AK103" s="36"/>
      <c r="AL103" s="36"/>
      <c r="AM103" s="36"/>
      <c r="AN103" s="36"/>
    </row>
    <row r="104" spans="1:43">
      <c r="A104" s="16" t="s">
        <v>128</v>
      </c>
      <c r="B104" s="16" t="s">
        <v>4</v>
      </c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>
        <v>2976</v>
      </c>
      <c r="AJ104" s="36"/>
      <c r="AK104" s="36"/>
      <c r="AL104" s="36"/>
      <c r="AM104" s="36"/>
      <c r="AN104" s="36"/>
    </row>
    <row r="105" spans="1:43">
      <c r="A105" s="6" t="s">
        <v>129</v>
      </c>
      <c r="B105" s="6" t="s">
        <v>4</v>
      </c>
      <c r="C105" s="13">
        <f t="shared" ref="C105:AH105" si="69">SUM(C100:C104)</f>
        <v>0</v>
      </c>
      <c r="D105" s="13">
        <f t="shared" si="69"/>
        <v>0</v>
      </c>
      <c r="E105" s="13">
        <f t="shared" si="69"/>
        <v>0</v>
      </c>
      <c r="F105" s="13">
        <f t="shared" si="69"/>
        <v>0</v>
      </c>
      <c r="G105" s="13">
        <f t="shared" si="69"/>
        <v>0</v>
      </c>
      <c r="H105" s="13">
        <f t="shared" si="69"/>
        <v>0</v>
      </c>
      <c r="I105" s="13">
        <f t="shared" si="69"/>
        <v>0</v>
      </c>
      <c r="J105" s="13">
        <f t="shared" si="69"/>
        <v>0</v>
      </c>
      <c r="K105" s="13">
        <f t="shared" si="69"/>
        <v>0</v>
      </c>
      <c r="L105" s="13">
        <f t="shared" si="69"/>
        <v>0</v>
      </c>
      <c r="M105" s="13">
        <f t="shared" si="69"/>
        <v>0</v>
      </c>
      <c r="N105" s="13">
        <f t="shared" si="69"/>
        <v>0</v>
      </c>
      <c r="O105" s="13">
        <f t="shared" si="69"/>
        <v>0</v>
      </c>
      <c r="P105" s="13">
        <f t="shared" si="69"/>
        <v>0</v>
      </c>
      <c r="Q105" s="13">
        <f t="shared" si="69"/>
        <v>0</v>
      </c>
      <c r="R105" s="13">
        <f t="shared" si="69"/>
        <v>0</v>
      </c>
      <c r="S105" s="13">
        <f t="shared" si="69"/>
        <v>0</v>
      </c>
      <c r="T105" s="13">
        <f t="shared" si="69"/>
        <v>0</v>
      </c>
      <c r="U105" s="13">
        <f t="shared" si="69"/>
        <v>0</v>
      </c>
      <c r="V105" s="13">
        <f t="shared" si="69"/>
        <v>0</v>
      </c>
      <c r="W105" s="13">
        <f t="shared" si="69"/>
        <v>0</v>
      </c>
      <c r="X105" s="13">
        <f t="shared" si="69"/>
        <v>0</v>
      </c>
      <c r="Y105" s="13">
        <f t="shared" si="69"/>
        <v>0</v>
      </c>
      <c r="Z105" s="13">
        <f t="shared" si="69"/>
        <v>0</v>
      </c>
      <c r="AA105" s="13">
        <f t="shared" si="69"/>
        <v>0</v>
      </c>
      <c r="AB105" s="13">
        <f t="shared" si="69"/>
        <v>0</v>
      </c>
      <c r="AC105" s="13">
        <f t="shared" si="69"/>
        <v>0</v>
      </c>
      <c r="AD105" s="13">
        <f t="shared" si="69"/>
        <v>0</v>
      </c>
      <c r="AE105" s="13">
        <f t="shared" si="69"/>
        <v>0</v>
      </c>
      <c r="AF105" s="13">
        <f t="shared" si="69"/>
        <v>0</v>
      </c>
      <c r="AG105" s="13">
        <f t="shared" si="69"/>
        <v>0</v>
      </c>
      <c r="AH105" s="13">
        <f t="shared" si="69"/>
        <v>0</v>
      </c>
      <c r="AI105" s="13">
        <f>SUM(AI100:AI104)</f>
        <v>-47629</v>
      </c>
      <c r="AJ105" s="36"/>
      <c r="AK105" s="36"/>
      <c r="AL105" s="36"/>
      <c r="AM105" s="36"/>
      <c r="AN105" s="36"/>
    </row>
    <row r="106" spans="1:43">
      <c r="A106" s="16" t="s">
        <v>130</v>
      </c>
      <c r="B106" s="16" t="s">
        <v>4</v>
      </c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93"/>
      <c r="AB106" s="93"/>
      <c r="AC106" s="93"/>
      <c r="AD106" s="93"/>
      <c r="AE106" s="93"/>
      <c r="AF106" s="93"/>
      <c r="AG106" s="94"/>
      <c r="AH106" s="94"/>
      <c r="AI106" s="58">
        <v>-3166</v>
      </c>
      <c r="AJ106" s="36"/>
      <c r="AK106" s="36"/>
      <c r="AL106" s="36"/>
      <c r="AM106" s="36"/>
      <c r="AN106" s="36"/>
      <c r="AQ106" s="61"/>
    </row>
    <row r="107" spans="1:43">
      <c r="A107" s="16" t="s">
        <v>113</v>
      </c>
      <c r="B107" s="16" t="s">
        <v>4</v>
      </c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58">
        <v>-67255</v>
      </c>
      <c r="AJ107" s="36"/>
      <c r="AK107" s="36"/>
      <c r="AL107" s="36"/>
      <c r="AM107" s="36"/>
      <c r="AN107" s="36"/>
    </row>
    <row r="108" spans="1:43">
      <c r="A108" s="16" t="s">
        <v>131</v>
      </c>
      <c r="B108" s="16" t="s">
        <v>4</v>
      </c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>
        <v>-33160</v>
      </c>
      <c r="AJ108" s="36"/>
      <c r="AK108" s="36"/>
      <c r="AL108" s="36"/>
      <c r="AM108" s="36"/>
      <c r="AN108" s="36"/>
    </row>
    <row r="109" spans="1:43">
      <c r="A109" s="6" t="s">
        <v>132</v>
      </c>
      <c r="B109" s="6" t="s">
        <v>4</v>
      </c>
      <c r="C109" s="13">
        <f t="shared" ref="C109:AH109" si="70">SUM(C106:C108)</f>
        <v>0</v>
      </c>
      <c r="D109" s="13">
        <f t="shared" si="70"/>
        <v>0</v>
      </c>
      <c r="E109" s="13">
        <f t="shared" si="70"/>
        <v>0</v>
      </c>
      <c r="F109" s="13">
        <f t="shared" si="70"/>
        <v>0</v>
      </c>
      <c r="G109" s="13">
        <f t="shared" si="70"/>
        <v>0</v>
      </c>
      <c r="H109" s="13">
        <f t="shared" si="70"/>
        <v>0</v>
      </c>
      <c r="I109" s="13">
        <f t="shared" si="70"/>
        <v>0</v>
      </c>
      <c r="J109" s="13">
        <f t="shared" si="70"/>
        <v>0</v>
      </c>
      <c r="K109" s="13">
        <f t="shared" si="70"/>
        <v>0</v>
      </c>
      <c r="L109" s="13">
        <f t="shared" si="70"/>
        <v>0</v>
      </c>
      <c r="M109" s="13">
        <f t="shared" si="70"/>
        <v>0</v>
      </c>
      <c r="N109" s="13">
        <f t="shared" si="70"/>
        <v>0</v>
      </c>
      <c r="O109" s="13">
        <f t="shared" si="70"/>
        <v>0</v>
      </c>
      <c r="P109" s="13">
        <f t="shared" si="70"/>
        <v>0</v>
      </c>
      <c r="Q109" s="13">
        <f t="shared" si="70"/>
        <v>0</v>
      </c>
      <c r="R109" s="13">
        <f t="shared" si="70"/>
        <v>0</v>
      </c>
      <c r="S109" s="13">
        <f t="shared" si="70"/>
        <v>0</v>
      </c>
      <c r="T109" s="13">
        <f t="shared" si="70"/>
        <v>0</v>
      </c>
      <c r="U109" s="13">
        <f t="shared" si="70"/>
        <v>0</v>
      </c>
      <c r="V109" s="13">
        <f t="shared" si="70"/>
        <v>0</v>
      </c>
      <c r="W109" s="13">
        <f t="shared" si="70"/>
        <v>0</v>
      </c>
      <c r="X109" s="13">
        <f t="shared" si="70"/>
        <v>0</v>
      </c>
      <c r="Y109" s="13">
        <f t="shared" si="70"/>
        <v>0</v>
      </c>
      <c r="Z109" s="13">
        <f t="shared" si="70"/>
        <v>0</v>
      </c>
      <c r="AA109" s="13">
        <f t="shared" si="70"/>
        <v>0</v>
      </c>
      <c r="AB109" s="13">
        <f t="shared" si="70"/>
        <v>0</v>
      </c>
      <c r="AC109" s="13">
        <f t="shared" si="70"/>
        <v>0</v>
      </c>
      <c r="AD109" s="13">
        <f t="shared" si="70"/>
        <v>0</v>
      </c>
      <c r="AE109" s="13">
        <f t="shared" si="70"/>
        <v>0</v>
      </c>
      <c r="AF109" s="13">
        <f t="shared" si="70"/>
        <v>0</v>
      </c>
      <c r="AG109" s="13">
        <f t="shared" si="70"/>
        <v>0</v>
      </c>
      <c r="AH109" s="13">
        <f t="shared" si="70"/>
        <v>0</v>
      </c>
      <c r="AI109" s="13">
        <f>SUM(AI106:AI108)</f>
        <v>-103581</v>
      </c>
      <c r="AJ109" s="51"/>
      <c r="AK109" s="51"/>
      <c r="AL109" s="51"/>
      <c r="AM109" s="51"/>
      <c r="AN109" s="51"/>
    </row>
    <row r="110" spans="1:43">
      <c r="A110" s="6" t="s">
        <v>133</v>
      </c>
      <c r="B110" s="16" t="s">
        <v>4</v>
      </c>
      <c r="C110" s="13">
        <f t="shared" ref="C110:AH110" si="71">SUM(C109,C105,C99)</f>
        <v>0</v>
      </c>
      <c r="D110" s="13">
        <f t="shared" si="71"/>
        <v>0</v>
      </c>
      <c r="E110" s="13">
        <f t="shared" si="71"/>
        <v>0</v>
      </c>
      <c r="F110" s="13">
        <f t="shared" si="71"/>
        <v>0</v>
      </c>
      <c r="G110" s="13">
        <f t="shared" si="71"/>
        <v>0</v>
      </c>
      <c r="H110" s="13">
        <f t="shared" si="71"/>
        <v>0</v>
      </c>
      <c r="I110" s="13">
        <f t="shared" si="71"/>
        <v>0</v>
      </c>
      <c r="J110" s="13">
        <f t="shared" si="71"/>
        <v>0</v>
      </c>
      <c r="K110" s="13">
        <f t="shared" si="71"/>
        <v>0</v>
      </c>
      <c r="L110" s="13">
        <f t="shared" si="71"/>
        <v>0</v>
      </c>
      <c r="M110" s="13">
        <f t="shared" si="71"/>
        <v>0</v>
      </c>
      <c r="N110" s="13">
        <f t="shared" si="71"/>
        <v>0</v>
      </c>
      <c r="O110" s="13">
        <f t="shared" si="71"/>
        <v>0</v>
      </c>
      <c r="P110" s="13">
        <f t="shared" si="71"/>
        <v>0</v>
      </c>
      <c r="Q110" s="13">
        <f t="shared" si="71"/>
        <v>0</v>
      </c>
      <c r="R110" s="13">
        <f t="shared" si="71"/>
        <v>0</v>
      </c>
      <c r="S110" s="13">
        <f t="shared" si="71"/>
        <v>0</v>
      </c>
      <c r="T110" s="13">
        <f t="shared" si="71"/>
        <v>0</v>
      </c>
      <c r="U110" s="13">
        <f t="shared" si="71"/>
        <v>0</v>
      </c>
      <c r="V110" s="13">
        <f t="shared" si="71"/>
        <v>0</v>
      </c>
      <c r="W110" s="13">
        <f t="shared" si="71"/>
        <v>0</v>
      </c>
      <c r="X110" s="13">
        <f t="shared" si="71"/>
        <v>0</v>
      </c>
      <c r="Y110" s="13">
        <f t="shared" si="71"/>
        <v>0</v>
      </c>
      <c r="Z110" s="13">
        <f t="shared" si="71"/>
        <v>0</v>
      </c>
      <c r="AA110" s="13">
        <f t="shared" si="71"/>
        <v>0</v>
      </c>
      <c r="AB110" s="13">
        <f t="shared" si="71"/>
        <v>0</v>
      </c>
      <c r="AC110" s="13">
        <f t="shared" si="71"/>
        <v>0</v>
      </c>
      <c r="AD110" s="13">
        <f t="shared" si="71"/>
        <v>0</v>
      </c>
      <c r="AE110" s="13">
        <f t="shared" si="71"/>
        <v>0</v>
      </c>
      <c r="AF110" s="13">
        <f t="shared" si="71"/>
        <v>0</v>
      </c>
      <c r="AG110" s="13">
        <f t="shared" si="71"/>
        <v>0</v>
      </c>
      <c r="AH110" s="13">
        <f t="shared" si="71"/>
        <v>0</v>
      </c>
      <c r="AI110" s="13">
        <f>SUM(AI109,AI105,AI99)</f>
        <v>-11621</v>
      </c>
      <c r="AJ110" s="36"/>
      <c r="AK110" s="36"/>
      <c r="AL110" s="36"/>
      <c r="AM110" s="36"/>
      <c r="AN110" s="36"/>
    </row>
    <row r="111" spans="1:43">
      <c r="A111" s="16" t="s">
        <v>134</v>
      </c>
      <c r="B111" s="16" t="s">
        <v>4</v>
      </c>
      <c r="C111" s="2"/>
      <c r="D111" s="2">
        <f>C112</f>
        <v>0</v>
      </c>
      <c r="E111" s="2">
        <f t="shared" ref="E111:AH111" si="72">D112</f>
        <v>0</v>
      </c>
      <c r="F111" s="2">
        <f t="shared" si="72"/>
        <v>0</v>
      </c>
      <c r="G111" s="2">
        <f t="shared" si="72"/>
        <v>0</v>
      </c>
      <c r="H111" s="2">
        <f t="shared" si="72"/>
        <v>0</v>
      </c>
      <c r="I111" s="2">
        <f t="shared" si="72"/>
        <v>0</v>
      </c>
      <c r="J111" s="2">
        <f t="shared" si="72"/>
        <v>0</v>
      </c>
      <c r="K111" s="2">
        <f t="shared" si="72"/>
        <v>0</v>
      </c>
      <c r="L111" s="2">
        <f t="shared" si="72"/>
        <v>0</v>
      </c>
      <c r="M111" s="2">
        <f t="shared" si="72"/>
        <v>0</v>
      </c>
      <c r="N111" s="2">
        <f t="shared" si="72"/>
        <v>0</v>
      </c>
      <c r="O111" s="2">
        <f t="shared" si="72"/>
        <v>0</v>
      </c>
      <c r="P111" s="2">
        <f t="shared" si="72"/>
        <v>0</v>
      </c>
      <c r="Q111" s="2">
        <f t="shared" si="72"/>
        <v>0</v>
      </c>
      <c r="R111" s="2">
        <f t="shared" si="72"/>
        <v>0</v>
      </c>
      <c r="S111" s="2">
        <f t="shared" si="72"/>
        <v>0</v>
      </c>
      <c r="T111" s="2">
        <f t="shared" si="72"/>
        <v>0</v>
      </c>
      <c r="U111" s="2">
        <f t="shared" si="72"/>
        <v>0</v>
      </c>
      <c r="V111" s="2">
        <f t="shared" si="72"/>
        <v>0</v>
      </c>
      <c r="W111" s="2">
        <f t="shared" si="72"/>
        <v>0</v>
      </c>
      <c r="X111" s="2">
        <f t="shared" si="72"/>
        <v>0</v>
      </c>
      <c r="Y111" s="2">
        <f t="shared" si="72"/>
        <v>0</v>
      </c>
      <c r="Z111" s="2">
        <f t="shared" si="72"/>
        <v>0</v>
      </c>
      <c r="AA111" s="2">
        <f t="shared" si="72"/>
        <v>0</v>
      </c>
      <c r="AB111" s="2">
        <f t="shared" si="72"/>
        <v>0</v>
      </c>
      <c r="AC111" s="2">
        <f t="shared" si="72"/>
        <v>0</v>
      </c>
      <c r="AD111" s="2">
        <f t="shared" si="72"/>
        <v>0</v>
      </c>
      <c r="AE111" s="2">
        <f t="shared" si="72"/>
        <v>0</v>
      </c>
      <c r="AF111" s="2">
        <f t="shared" si="72"/>
        <v>0</v>
      </c>
      <c r="AG111" s="2">
        <f t="shared" si="72"/>
        <v>0</v>
      </c>
      <c r="AH111" s="2">
        <f t="shared" si="72"/>
        <v>0</v>
      </c>
      <c r="AI111" s="2">
        <v>425096</v>
      </c>
      <c r="AJ111" s="36"/>
      <c r="AK111" s="36"/>
      <c r="AL111" s="36"/>
      <c r="AM111" s="36"/>
      <c r="AN111" s="36"/>
    </row>
    <row r="112" spans="1:43">
      <c r="A112" s="6" t="s">
        <v>135</v>
      </c>
      <c r="B112" s="6" t="s">
        <v>4</v>
      </c>
      <c r="C112" s="13">
        <f t="shared" ref="C112:AH112" si="73">SUM(C110:C111)</f>
        <v>0</v>
      </c>
      <c r="D112" s="13">
        <f t="shared" si="73"/>
        <v>0</v>
      </c>
      <c r="E112" s="13">
        <f t="shared" si="73"/>
        <v>0</v>
      </c>
      <c r="F112" s="13">
        <f t="shared" si="73"/>
        <v>0</v>
      </c>
      <c r="G112" s="13">
        <f t="shared" si="73"/>
        <v>0</v>
      </c>
      <c r="H112" s="13">
        <f t="shared" si="73"/>
        <v>0</v>
      </c>
      <c r="I112" s="13">
        <f t="shared" si="73"/>
        <v>0</v>
      </c>
      <c r="J112" s="13">
        <f t="shared" si="73"/>
        <v>0</v>
      </c>
      <c r="K112" s="13">
        <f t="shared" si="73"/>
        <v>0</v>
      </c>
      <c r="L112" s="13">
        <f t="shared" si="73"/>
        <v>0</v>
      </c>
      <c r="M112" s="13">
        <f t="shared" si="73"/>
        <v>0</v>
      </c>
      <c r="N112" s="13">
        <f t="shared" si="73"/>
        <v>0</v>
      </c>
      <c r="O112" s="13">
        <f t="shared" si="73"/>
        <v>0</v>
      </c>
      <c r="P112" s="13">
        <f t="shared" si="73"/>
        <v>0</v>
      </c>
      <c r="Q112" s="13">
        <f t="shared" si="73"/>
        <v>0</v>
      </c>
      <c r="R112" s="13">
        <f t="shared" si="73"/>
        <v>0</v>
      </c>
      <c r="S112" s="13">
        <f t="shared" si="73"/>
        <v>0</v>
      </c>
      <c r="T112" s="13">
        <f t="shared" si="73"/>
        <v>0</v>
      </c>
      <c r="U112" s="13">
        <f t="shared" si="73"/>
        <v>0</v>
      </c>
      <c r="V112" s="13">
        <f t="shared" si="73"/>
        <v>0</v>
      </c>
      <c r="W112" s="13">
        <f t="shared" si="73"/>
        <v>0</v>
      </c>
      <c r="X112" s="13">
        <f t="shared" si="73"/>
        <v>0</v>
      </c>
      <c r="Y112" s="13">
        <f t="shared" si="73"/>
        <v>0</v>
      </c>
      <c r="Z112" s="13">
        <f t="shared" si="73"/>
        <v>0</v>
      </c>
      <c r="AA112" s="13">
        <f t="shared" si="73"/>
        <v>0</v>
      </c>
      <c r="AB112" s="13">
        <f t="shared" si="73"/>
        <v>0</v>
      </c>
      <c r="AC112" s="13">
        <f t="shared" si="73"/>
        <v>0</v>
      </c>
      <c r="AD112" s="13">
        <f t="shared" si="73"/>
        <v>0</v>
      </c>
      <c r="AE112" s="13">
        <f t="shared" si="73"/>
        <v>0</v>
      </c>
      <c r="AF112" s="13">
        <f t="shared" si="73"/>
        <v>0</v>
      </c>
      <c r="AG112" s="13">
        <f t="shared" si="73"/>
        <v>0</v>
      </c>
      <c r="AH112" s="13">
        <f t="shared" si="73"/>
        <v>0</v>
      </c>
      <c r="AI112" s="13">
        <f>SUM(AI110:AI111)</f>
        <v>413475</v>
      </c>
      <c r="AJ112" s="36"/>
      <c r="AK112" s="36"/>
      <c r="AL112" s="36"/>
      <c r="AM112" s="36"/>
      <c r="AN112" s="36"/>
    </row>
    <row r="113" spans="1:42">
      <c r="A113" s="6"/>
      <c r="B113" s="6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36"/>
      <c r="AK113" s="36"/>
      <c r="AL113" s="36"/>
      <c r="AM113" s="36"/>
      <c r="AN113" s="36"/>
    </row>
    <row r="114" spans="1:42" ht="13.5" customHeight="1">
      <c r="A114" s="16"/>
      <c r="B114" s="16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13"/>
      <c r="V114" s="13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5"/>
      <c r="AJ114" s="36"/>
      <c r="AK114" s="36"/>
      <c r="AL114" s="44"/>
      <c r="AM114" s="44"/>
      <c r="AN114" s="44"/>
      <c r="AO114" s="54"/>
      <c r="AP114" s="54"/>
    </row>
    <row r="115" spans="1:42">
      <c r="A115" s="76" t="s">
        <v>9</v>
      </c>
      <c r="B115" s="77"/>
      <c r="C115" s="78"/>
      <c r="D115" s="78"/>
      <c r="E115" s="78"/>
      <c r="F115" s="78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8"/>
    </row>
    <row r="116" spans="1:42">
      <c r="A116" s="6" t="s">
        <v>10</v>
      </c>
      <c r="B116" s="6" t="s">
        <v>4</v>
      </c>
      <c r="C116" s="13">
        <f t="shared" ref="C116:AH116" si="74">C117+C124</f>
        <v>0</v>
      </c>
      <c r="D116" s="13">
        <f t="shared" si="74"/>
        <v>0</v>
      </c>
      <c r="E116" s="13">
        <f t="shared" si="74"/>
        <v>0</v>
      </c>
      <c r="F116" s="13">
        <f t="shared" si="74"/>
        <v>0</v>
      </c>
      <c r="G116" s="13">
        <f t="shared" si="74"/>
        <v>0</v>
      </c>
      <c r="H116" s="13">
        <f t="shared" si="74"/>
        <v>0</v>
      </c>
      <c r="I116" s="13">
        <f t="shared" si="74"/>
        <v>0</v>
      </c>
      <c r="J116" s="13">
        <f t="shared" si="74"/>
        <v>0</v>
      </c>
      <c r="K116" s="13">
        <f t="shared" si="74"/>
        <v>0</v>
      </c>
      <c r="L116" s="13">
        <f t="shared" si="74"/>
        <v>0</v>
      </c>
      <c r="M116" s="13">
        <f t="shared" si="74"/>
        <v>0</v>
      </c>
      <c r="N116" s="13">
        <f t="shared" si="74"/>
        <v>0</v>
      </c>
      <c r="O116" s="13">
        <f t="shared" si="74"/>
        <v>0</v>
      </c>
      <c r="P116" s="13">
        <f t="shared" si="74"/>
        <v>0</v>
      </c>
      <c r="Q116" s="13">
        <f t="shared" si="74"/>
        <v>0</v>
      </c>
      <c r="R116" s="13">
        <f t="shared" si="74"/>
        <v>0</v>
      </c>
      <c r="S116" s="13">
        <f t="shared" si="74"/>
        <v>0</v>
      </c>
      <c r="T116" s="13">
        <f t="shared" si="74"/>
        <v>0</v>
      </c>
      <c r="U116" s="13">
        <f t="shared" si="74"/>
        <v>0</v>
      </c>
      <c r="V116" s="13">
        <f t="shared" si="74"/>
        <v>0</v>
      </c>
      <c r="W116" s="13">
        <f t="shared" si="74"/>
        <v>0</v>
      </c>
      <c r="X116" s="13">
        <f t="shared" si="74"/>
        <v>0</v>
      </c>
      <c r="Y116" s="13">
        <f t="shared" si="74"/>
        <v>0</v>
      </c>
      <c r="Z116" s="13">
        <f t="shared" si="74"/>
        <v>0</v>
      </c>
      <c r="AA116" s="13">
        <f t="shared" si="74"/>
        <v>0</v>
      </c>
      <c r="AB116" s="13">
        <f t="shared" si="74"/>
        <v>0</v>
      </c>
      <c r="AC116" s="13">
        <f t="shared" si="74"/>
        <v>0</v>
      </c>
      <c r="AD116" s="13">
        <f t="shared" si="74"/>
        <v>0</v>
      </c>
      <c r="AE116" s="13">
        <f t="shared" si="74"/>
        <v>0</v>
      </c>
      <c r="AF116" s="13">
        <f t="shared" si="74"/>
        <v>0</v>
      </c>
      <c r="AG116" s="13">
        <f t="shared" si="74"/>
        <v>0</v>
      </c>
      <c r="AH116" s="13">
        <f t="shared" si="74"/>
        <v>0</v>
      </c>
      <c r="AI116" s="13">
        <f>AI117+AI124</f>
        <v>3931137</v>
      </c>
      <c r="AJ116" s="36"/>
      <c r="AK116" s="36"/>
      <c r="AL116" s="55"/>
      <c r="AM116" s="55"/>
      <c r="AN116" s="55"/>
      <c r="AO116" s="55"/>
      <c r="AP116" s="54"/>
    </row>
    <row r="117" spans="1:42">
      <c r="A117" s="9" t="s">
        <v>11</v>
      </c>
      <c r="B117" s="16" t="s">
        <v>4</v>
      </c>
      <c r="C117" s="2">
        <f t="shared" ref="C117:AI117" si="75">SUM(C118:C123)</f>
        <v>0</v>
      </c>
      <c r="D117" s="2">
        <f t="shared" si="75"/>
        <v>0</v>
      </c>
      <c r="E117" s="2">
        <f t="shared" si="75"/>
        <v>0</v>
      </c>
      <c r="F117" s="2">
        <f t="shared" si="75"/>
        <v>0</v>
      </c>
      <c r="G117" s="2">
        <f t="shared" si="75"/>
        <v>0</v>
      </c>
      <c r="H117" s="2">
        <f t="shared" si="75"/>
        <v>0</v>
      </c>
      <c r="I117" s="2">
        <f t="shared" si="75"/>
        <v>0</v>
      </c>
      <c r="J117" s="2">
        <f t="shared" si="75"/>
        <v>0</v>
      </c>
      <c r="K117" s="2">
        <f t="shared" si="75"/>
        <v>0</v>
      </c>
      <c r="L117" s="2">
        <f t="shared" si="75"/>
        <v>0</v>
      </c>
      <c r="M117" s="2">
        <f t="shared" si="75"/>
        <v>0</v>
      </c>
      <c r="N117" s="2">
        <f t="shared" si="75"/>
        <v>0</v>
      </c>
      <c r="O117" s="2">
        <f t="shared" si="75"/>
        <v>0</v>
      </c>
      <c r="P117" s="2">
        <f t="shared" si="75"/>
        <v>0</v>
      </c>
      <c r="Q117" s="2">
        <f t="shared" si="75"/>
        <v>0</v>
      </c>
      <c r="R117" s="2">
        <f t="shared" si="75"/>
        <v>0</v>
      </c>
      <c r="S117" s="2">
        <f t="shared" si="75"/>
        <v>0</v>
      </c>
      <c r="T117" s="2">
        <f t="shared" si="75"/>
        <v>0</v>
      </c>
      <c r="U117" s="2">
        <f t="shared" si="75"/>
        <v>0</v>
      </c>
      <c r="V117" s="2">
        <f t="shared" si="75"/>
        <v>0</v>
      </c>
      <c r="W117" s="2">
        <f t="shared" si="75"/>
        <v>0</v>
      </c>
      <c r="X117" s="2">
        <f t="shared" si="75"/>
        <v>0</v>
      </c>
      <c r="Y117" s="2">
        <f t="shared" si="75"/>
        <v>0</v>
      </c>
      <c r="Z117" s="2">
        <f t="shared" si="75"/>
        <v>0</v>
      </c>
      <c r="AA117" s="2">
        <f t="shared" si="75"/>
        <v>0</v>
      </c>
      <c r="AB117" s="2">
        <f t="shared" si="75"/>
        <v>0</v>
      </c>
      <c r="AC117" s="2">
        <f t="shared" si="75"/>
        <v>0</v>
      </c>
      <c r="AD117" s="2">
        <f t="shared" si="75"/>
        <v>0</v>
      </c>
      <c r="AE117" s="2">
        <f t="shared" si="75"/>
        <v>0</v>
      </c>
      <c r="AF117" s="2">
        <f t="shared" si="75"/>
        <v>0</v>
      </c>
      <c r="AG117" s="2">
        <f t="shared" si="75"/>
        <v>0</v>
      </c>
      <c r="AH117" s="2">
        <f t="shared" si="75"/>
        <v>0</v>
      </c>
      <c r="AI117" s="2">
        <f t="shared" si="75"/>
        <v>1073044</v>
      </c>
      <c r="AJ117" s="36"/>
      <c r="AK117" s="36"/>
      <c r="AL117" s="55"/>
      <c r="AM117" s="55"/>
      <c r="AN117" s="55"/>
      <c r="AO117" s="55"/>
      <c r="AP117" s="54"/>
    </row>
    <row r="118" spans="1:42">
      <c r="A118" s="11" t="s">
        <v>12</v>
      </c>
      <c r="B118" s="16" t="s">
        <v>4</v>
      </c>
      <c r="C118" s="12">
        <f t="shared" ref="C118" si="76">C112</f>
        <v>0</v>
      </c>
      <c r="D118" s="12">
        <f t="shared" ref="D118:AH118" si="77">D112</f>
        <v>0</v>
      </c>
      <c r="E118" s="12">
        <f t="shared" si="77"/>
        <v>0</v>
      </c>
      <c r="F118" s="12">
        <f t="shared" si="77"/>
        <v>0</v>
      </c>
      <c r="G118" s="12">
        <f t="shared" si="77"/>
        <v>0</v>
      </c>
      <c r="H118" s="12">
        <f t="shared" si="77"/>
        <v>0</v>
      </c>
      <c r="I118" s="12">
        <f t="shared" si="77"/>
        <v>0</v>
      </c>
      <c r="J118" s="12">
        <f t="shared" si="77"/>
        <v>0</v>
      </c>
      <c r="K118" s="12">
        <f t="shared" si="77"/>
        <v>0</v>
      </c>
      <c r="L118" s="12">
        <f t="shared" si="77"/>
        <v>0</v>
      </c>
      <c r="M118" s="12">
        <f t="shared" si="77"/>
        <v>0</v>
      </c>
      <c r="N118" s="12">
        <f t="shared" si="77"/>
        <v>0</v>
      </c>
      <c r="O118" s="12">
        <f t="shared" si="77"/>
        <v>0</v>
      </c>
      <c r="P118" s="12">
        <f t="shared" si="77"/>
        <v>0</v>
      </c>
      <c r="Q118" s="12">
        <f t="shared" si="77"/>
        <v>0</v>
      </c>
      <c r="R118" s="12">
        <f t="shared" si="77"/>
        <v>0</v>
      </c>
      <c r="S118" s="12">
        <f t="shared" si="77"/>
        <v>0</v>
      </c>
      <c r="T118" s="12">
        <f t="shared" si="77"/>
        <v>0</v>
      </c>
      <c r="U118" s="12">
        <f t="shared" si="77"/>
        <v>0</v>
      </c>
      <c r="V118" s="12">
        <f t="shared" si="77"/>
        <v>0</v>
      </c>
      <c r="W118" s="12">
        <f t="shared" si="77"/>
        <v>0</v>
      </c>
      <c r="X118" s="12">
        <f t="shared" si="77"/>
        <v>0</v>
      </c>
      <c r="Y118" s="12">
        <f t="shared" si="77"/>
        <v>0</v>
      </c>
      <c r="Z118" s="12">
        <f t="shared" si="77"/>
        <v>0</v>
      </c>
      <c r="AA118" s="12">
        <f t="shared" si="77"/>
        <v>0</v>
      </c>
      <c r="AB118" s="12">
        <f t="shared" si="77"/>
        <v>0</v>
      </c>
      <c r="AC118" s="12">
        <f t="shared" si="77"/>
        <v>0</v>
      </c>
      <c r="AD118" s="12">
        <f t="shared" si="77"/>
        <v>0</v>
      </c>
      <c r="AE118" s="12">
        <f t="shared" si="77"/>
        <v>0</v>
      </c>
      <c r="AF118" s="12">
        <f t="shared" si="77"/>
        <v>0</v>
      </c>
      <c r="AG118" s="12">
        <f t="shared" si="77"/>
        <v>0</v>
      </c>
      <c r="AH118" s="12">
        <f t="shared" si="77"/>
        <v>0</v>
      </c>
      <c r="AI118" s="12">
        <f>AI112</f>
        <v>413475</v>
      </c>
      <c r="AJ118" s="36"/>
      <c r="AK118" s="36"/>
      <c r="AL118" s="55"/>
      <c r="AM118" s="55"/>
      <c r="AN118" s="55"/>
      <c r="AO118" s="55"/>
      <c r="AP118" s="54"/>
    </row>
    <row r="119" spans="1:42">
      <c r="A119" s="11" t="s">
        <v>136</v>
      </c>
      <c r="B119" s="16" t="s">
        <v>4</v>
      </c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7"/>
      <c r="V119" s="17"/>
      <c r="W119" s="17"/>
      <c r="X119" s="17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12" t="s">
        <v>43</v>
      </c>
      <c r="AJ119" s="36"/>
      <c r="AK119" s="36"/>
      <c r="AL119" s="55"/>
      <c r="AM119" s="55"/>
      <c r="AN119" s="55"/>
      <c r="AO119" s="55"/>
      <c r="AP119" s="54"/>
    </row>
    <row r="120" spans="1:42">
      <c r="A120" s="11" t="s">
        <v>114</v>
      </c>
      <c r="B120" s="16" t="s">
        <v>4</v>
      </c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7"/>
      <c r="Y120" s="36"/>
      <c r="Z120" s="36"/>
      <c r="AA120" s="36"/>
      <c r="AB120" s="36"/>
      <c r="AC120" s="36"/>
      <c r="AD120" s="45"/>
      <c r="AE120" s="45"/>
      <c r="AF120" s="45"/>
      <c r="AG120" s="45"/>
      <c r="AH120" s="45"/>
      <c r="AI120" s="12">
        <v>199875</v>
      </c>
      <c r="AJ120" s="36"/>
      <c r="AK120" s="36"/>
      <c r="AL120" s="55"/>
      <c r="AM120" s="55"/>
      <c r="AN120" s="55"/>
      <c r="AO120" s="55"/>
      <c r="AP120" s="54"/>
    </row>
    <row r="121" spans="1:42">
      <c r="A121" s="11" t="s">
        <v>115</v>
      </c>
      <c r="B121" s="16" t="s">
        <v>4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7"/>
      <c r="V121" s="17"/>
      <c r="W121" s="17"/>
      <c r="X121" s="17"/>
      <c r="Y121" s="36"/>
      <c r="Z121" s="36"/>
      <c r="AA121" s="36"/>
      <c r="AB121" s="36"/>
      <c r="AC121" s="36"/>
      <c r="AD121" s="45"/>
      <c r="AE121" s="45"/>
      <c r="AF121" s="45"/>
      <c r="AG121" s="45"/>
      <c r="AH121" s="45"/>
      <c r="AI121" s="12">
        <v>373768</v>
      </c>
      <c r="AJ121" s="36"/>
      <c r="AK121" s="36"/>
      <c r="AL121" s="55"/>
      <c r="AM121" s="55"/>
      <c r="AN121" s="55"/>
      <c r="AO121" s="55"/>
      <c r="AP121" s="54"/>
    </row>
    <row r="122" spans="1:42">
      <c r="A122" s="11" t="s">
        <v>39</v>
      </c>
      <c r="B122" s="16" t="s">
        <v>4</v>
      </c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"/>
      <c r="V122" s="1"/>
      <c r="W122" s="1"/>
      <c r="X122" s="17"/>
      <c r="Y122" s="36"/>
      <c r="Z122" s="36"/>
      <c r="AA122" s="36"/>
      <c r="AB122" s="36"/>
      <c r="AC122" s="36"/>
      <c r="AD122" s="45"/>
      <c r="AE122" s="45"/>
      <c r="AF122" s="45"/>
      <c r="AG122" s="45"/>
      <c r="AH122" s="45"/>
      <c r="AI122" s="12">
        <v>48302</v>
      </c>
      <c r="AJ122" s="36"/>
      <c r="AK122" s="36"/>
      <c r="AL122" s="56"/>
      <c r="AM122" s="56"/>
      <c r="AN122" s="56"/>
      <c r="AO122" s="56"/>
      <c r="AP122" s="54"/>
    </row>
    <row r="123" spans="1:42">
      <c r="A123" s="11" t="s">
        <v>116</v>
      </c>
      <c r="B123" s="16" t="s">
        <v>4</v>
      </c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38"/>
      <c r="Z123" s="38"/>
      <c r="AA123" s="38"/>
      <c r="AB123" s="38"/>
      <c r="AC123" s="38"/>
      <c r="AD123" s="49"/>
      <c r="AE123" s="49"/>
      <c r="AF123" s="49"/>
      <c r="AG123" s="49"/>
      <c r="AH123" s="49"/>
      <c r="AI123" s="12">
        <v>37624</v>
      </c>
      <c r="AJ123" s="36"/>
      <c r="AK123" s="36"/>
      <c r="AL123" s="36"/>
      <c r="AM123" s="36"/>
      <c r="AN123" s="36"/>
    </row>
    <row r="124" spans="1:42">
      <c r="A124" s="9" t="s">
        <v>13</v>
      </c>
      <c r="B124" s="16" t="s">
        <v>4</v>
      </c>
      <c r="C124" s="2">
        <f t="shared" ref="C124:AH124" si="78">SUM(C125:C141)</f>
        <v>0</v>
      </c>
      <c r="D124" s="2">
        <f t="shared" si="78"/>
        <v>0</v>
      </c>
      <c r="E124" s="2">
        <f t="shared" si="78"/>
        <v>0</v>
      </c>
      <c r="F124" s="2">
        <f t="shared" si="78"/>
        <v>0</v>
      </c>
      <c r="G124" s="2">
        <f t="shared" si="78"/>
        <v>0</v>
      </c>
      <c r="H124" s="2">
        <f t="shared" si="78"/>
        <v>0</v>
      </c>
      <c r="I124" s="2">
        <f t="shared" si="78"/>
        <v>0</v>
      </c>
      <c r="J124" s="2">
        <f t="shared" si="78"/>
        <v>0</v>
      </c>
      <c r="K124" s="2">
        <f t="shared" si="78"/>
        <v>0</v>
      </c>
      <c r="L124" s="2">
        <f t="shared" si="78"/>
        <v>0</v>
      </c>
      <c r="M124" s="2">
        <f t="shared" si="78"/>
        <v>0</v>
      </c>
      <c r="N124" s="2">
        <f t="shared" si="78"/>
        <v>0</v>
      </c>
      <c r="O124" s="2">
        <f t="shared" si="78"/>
        <v>0</v>
      </c>
      <c r="P124" s="2">
        <f t="shared" si="78"/>
        <v>0</v>
      </c>
      <c r="Q124" s="2">
        <f t="shared" si="78"/>
        <v>0</v>
      </c>
      <c r="R124" s="2">
        <f t="shared" si="78"/>
        <v>0</v>
      </c>
      <c r="S124" s="2">
        <f t="shared" si="78"/>
        <v>0</v>
      </c>
      <c r="T124" s="2">
        <f t="shared" si="78"/>
        <v>0</v>
      </c>
      <c r="U124" s="2">
        <f t="shared" si="78"/>
        <v>0</v>
      </c>
      <c r="V124" s="2">
        <f t="shared" si="78"/>
        <v>0</v>
      </c>
      <c r="W124" s="2">
        <f t="shared" si="78"/>
        <v>0</v>
      </c>
      <c r="X124" s="2">
        <f t="shared" si="78"/>
        <v>0</v>
      </c>
      <c r="Y124" s="2">
        <f t="shared" si="78"/>
        <v>0</v>
      </c>
      <c r="Z124" s="2">
        <f t="shared" si="78"/>
        <v>0</v>
      </c>
      <c r="AA124" s="2">
        <f t="shared" si="78"/>
        <v>0</v>
      </c>
      <c r="AB124" s="2">
        <f t="shared" si="78"/>
        <v>0</v>
      </c>
      <c r="AC124" s="2">
        <f t="shared" si="78"/>
        <v>0</v>
      </c>
      <c r="AD124" s="2">
        <f t="shared" si="78"/>
        <v>0</v>
      </c>
      <c r="AE124" s="2">
        <f t="shared" si="78"/>
        <v>0</v>
      </c>
      <c r="AF124" s="2">
        <f t="shared" si="78"/>
        <v>0</v>
      </c>
      <c r="AG124" s="2">
        <f t="shared" si="78"/>
        <v>0</v>
      </c>
      <c r="AH124" s="2">
        <f t="shared" si="78"/>
        <v>0</v>
      </c>
      <c r="AI124" s="2">
        <f>SUM(AI125:AI141)</f>
        <v>2858093</v>
      </c>
      <c r="AJ124" s="36"/>
      <c r="AK124" s="36"/>
      <c r="AL124" s="36"/>
      <c r="AM124" s="36"/>
      <c r="AN124" s="36"/>
    </row>
    <row r="125" spans="1:42">
      <c r="A125" s="11" t="s">
        <v>136</v>
      </c>
      <c r="B125" s="16" t="s">
        <v>4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17"/>
      <c r="Y125" s="36"/>
      <c r="Z125" s="36"/>
      <c r="AA125" s="36"/>
      <c r="AB125" s="36"/>
      <c r="AC125" s="36"/>
      <c r="AD125" s="45"/>
      <c r="AE125" s="45"/>
      <c r="AF125" s="45"/>
      <c r="AG125" s="45"/>
      <c r="AH125" s="45"/>
      <c r="AI125" s="2">
        <v>5799</v>
      </c>
      <c r="AJ125" s="36"/>
      <c r="AK125" s="36"/>
      <c r="AL125" s="36"/>
      <c r="AM125" s="36"/>
      <c r="AN125" s="36"/>
    </row>
    <row r="126" spans="1:42">
      <c r="A126" s="11" t="s">
        <v>114</v>
      </c>
      <c r="B126" s="16" t="s">
        <v>4</v>
      </c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2"/>
      <c r="V126" s="2"/>
      <c r="W126" s="2"/>
      <c r="X126" s="17"/>
      <c r="Y126" s="36"/>
      <c r="Z126" s="36"/>
      <c r="AA126" s="36"/>
      <c r="AB126" s="36"/>
      <c r="AC126" s="45"/>
      <c r="AD126" s="45"/>
      <c r="AE126" s="45"/>
      <c r="AF126" s="45"/>
      <c r="AG126" s="45"/>
      <c r="AH126" s="45"/>
      <c r="AI126" s="12">
        <v>3486</v>
      </c>
      <c r="AJ126" s="36"/>
      <c r="AK126" s="36"/>
      <c r="AL126" s="36"/>
      <c r="AM126" s="36"/>
      <c r="AN126" s="36"/>
    </row>
    <row r="127" spans="1:42">
      <c r="A127" s="11" t="s">
        <v>113</v>
      </c>
      <c r="B127" s="16" t="s">
        <v>4</v>
      </c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2"/>
      <c r="V127" s="2"/>
      <c r="W127" s="2"/>
      <c r="X127" s="17"/>
      <c r="Y127" s="36"/>
      <c r="Z127" s="36"/>
      <c r="AA127" s="36"/>
      <c r="AB127" s="36"/>
      <c r="AC127" s="45"/>
      <c r="AD127" s="45"/>
      <c r="AE127" s="45"/>
      <c r="AF127" s="45"/>
      <c r="AG127" s="45"/>
      <c r="AH127" s="45"/>
      <c r="AI127" s="12">
        <v>24950</v>
      </c>
      <c r="AJ127" s="36"/>
      <c r="AK127" s="36"/>
      <c r="AL127" s="36"/>
      <c r="AM127" s="36"/>
      <c r="AN127" s="36"/>
    </row>
    <row r="128" spans="1:42">
      <c r="A128" s="11" t="s">
        <v>115</v>
      </c>
      <c r="B128" s="16" t="s">
        <v>4</v>
      </c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2"/>
      <c r="V128" s="2"/>
      <c r="W128" s="2"/>
      <c r="X128" s="17"/>
      <c r="Y128" s="36"/>
      <c r="Z128" s="36"/>
      <c r="AA128" s="36"/>
      <c r="AB128" s="36"/>
      <c r="AC128" s="45"/>
      <c r="AD128" s="45"/>
      <c r="AE128" s="47"/>
      <c r="AF128" s="47"/>
      <c r="AG128" s="47"/>
      <c r="AH128" s="47"/>
      <c r="AI128" s="12">
        <v>0</v>
      </c>
      <c r="AJ128" s="36"/>
      <c r="AK128" s="36"/>
      <c r="AL128" s="36"/>
      <c r="AM128" s="36"/>
      <c r="AN128" s="36"/>
    </row>
    <row r="129" spans="1:40">
      <c r="A129" s="11" t="s">
        <v>39</v>
      </c>
      <c r="B129" s="16" t="s">
        <v>4</v>
      </c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39"/>
      <c r="Z129" s="39"/>
      <c r="AA129" s="39"/>
      <c r="AB129" s="39"/>
      <c r="AC129" s="39"/>
      <c r="AD129" s="45"/>
      <c r="AE129" s="45"/>
      <c r="AF129" s="45"/>
      <c r="AG129" s="45"/>
      <c r="AH129" s="45"/>
      <c r="AI129" s="15">
        <v>48216</v>
      </c>
      <c r="AJ129" s="36"/>
      <c r="AK129" s="36"/>
      <c r="AL129" s="36"/>
      <c r="AM129" s="36"/>
      <c r="AN129" s="36"/>
    </row>
    <row r="130" spans="1:40">
      <c r="A130" s="11" t="s">
        <v>137</v>
      </c>
      <c r="B130" s="16" t="s">
        <v>4</v>
      </c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2"/>
      <c r="V130" s="2"/>
      <c r="W130" s="2"/>
      <c r="X130" s="17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12">
        <v>69574</v>
      </c>
      <c r="AJ130" s="36"/>
      <c r="AK130" s="36"/>
      <c r="AL130" s="36"/>
      <c r="AM130" s="36"/>
      <c r="AN130" s="36"/>
    </row>
    <row r="131" spans="1:40">
      <c r="A131" s="11" t="s">
        <v>138</v>
      </c>
      <c r="B131" s="16" t="s">
        <v>4</v>
      </c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2"/>
      <c r="V131" s="2"/>
      <c r="W131" s="2"/>
      <c r="X131" s="17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12">
        <v>25625</v>
      </c>
      <c r="AJ131" s="36"/>
      <c r="AK131" s="36"/>
      <c r="AL131" s="36"/>
      <c r="AM131" s="36"/>
      <c r="AN131" s="36"/>
    </row>
    <row r="132" spans="1:40">
      <c r="A132" s="11" t="s">
        <v>116</v>
      </c>
      <c r="B132" s="16" t="s">
        <v>4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2"/>
      <c r="V132" s="2"/>
      <c r="W132" s="2"/>
      <c r="X132" s="17"/>
      <c r="Y132" s="36"/>
      <c r="Z132" s="36"/>
      <c r="AA132" s="45"/>
      <c r="AB132" s="45"/>
      <c r="AC132" s="45"/>
      <c r="AD132" s="45"/>
      <c r="AE132" s="47"/>
      <c r="AF132" s="70"/>
      <c r="AG132" s="70"/>
      <c r="AH132" s="70"/>
      <c r="AI132" s="12">
        <v>33891</v>
      </c>
      <c r="AJ132" s="36"/>
      <c r="AK132" s="36"/>
      <c r="AL132" s="36"/>
      <c r="AM132" s="36"/>
      <c r="AN132" s="36"/>
    </row>
    <row r="133" spans="1:40">
      <c r="A133" s="11" t="s">
        <v>139</v>
      </c>
      <c r="B133" s="16" t="s">
        <v>4</v>
      </c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2"/>
      <c r="V133" s="2"/>
      <c r="W133" s="2"/>
      <c r="X133" s="17"/>
      <c r="Y133" s="36"/>
      <c r="Z133" s="36"/>
      <c r="AA133" s="45"/>
      <c r="AB133" s="45"/>
      <c r="AC133" s="45"/>
      <c r="AD133" s="45"/>
      <c r="AE133" s="47"/>
      <c r="AF133" s="70"/>
      <c r="AG133" s="70"/>
      <c r="AH133" s="70"/>
      <c r="AI133" s="12">
        <v>2525</v>
      </c>
      <c r="AJ133" s="36"/>
      <c r="AK133" s="36"/>
      <c r="AL133" s="36"/>
      <c r="AM133" s="36"/>
      <c r="AN133" s="36"/>
    </row>
    <row r="134" spans="1:40">
      <c r="A134" s="11" t="s">
        <v>140</v>
      </c>
      <c r="B134" s="16" t="s">
        <v>4</v>
      </c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2"/>
      <c r="V134" s="2"/>
      <c r="W134" s="2"/>
      <c r="X134" s="17"/>
      <c r="Y134" s="36"/>
      <c r="Z134" s="36"/>
      <c r="AA134" s="45"/>
      <c r="AB134" s="45"/>
      <c r="AC134" s="45"/>
      <c r="AD134" s="45"/>
      <c r="AE134" s="47"/>
      <c r="AF134" s="70"/>
      <c r="AG134" s="70"/>
      <c r="AH134" s="70"/>
      <c r="AI134" s="12"/>
      <c r="AJ134" s="36"/>
      <c r="AK134" s="36"/>
      <c r="AL134" s="36"/>
      <c r="AM134" s="36"/>
      <c r="AN134" s="36"/>
    </row>
    <row r="135" spans="1:40">
      <c r="A135" s="11" t="s">
        <v>141</v>
      </c>
      <c r="B135" s="16" t="s">
        <v>4</v>
      </c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2"/>
      <c r="V135" s="2"/>
      <c r="W135" s="2"/>
      <c r="X135" s="17"/>
      <c r="Y135" s="36"/>
      <c r="Z135" s="36"/>
      <c r="AA135" s="45"/>
      <c r="AB135" s="45"/>
      <c r="AC135" s="45"/>
      <c r="AD135" s="45"/>
      <c r="AE135" s="47"/>
      <c r="AF135" s="70"/>
      <c r="AG135" s="70"/>
      <c r="AH135" s="70"/>
      <c r="AI135" s="12">
        <v>0</v>
      </c>
      <c r="AJ135" s="36"/>
      <c r="AK135" s="36"/>
      <c r="AL135" s="36"/>
      <c r="AM135" s="36"/>
      <c r="AN135" s="36"/>
    </row>
    <row r="136" spans="1:40">
      <c r="A136" s="11" t="s">
        <v>142</v>
      </c>
      <c r="B136" s="16" t="s">
        <v>4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2"/>
      <c r="V136" s="2"/>
      <c r="W136" s="2"/>
      <c r="X136" s="17"/>
      <c r="Y136" s="36"/>
      <c r="Z136" s="36"/>
      <c r="AA136" s="45"/>
      <c r="AB136" s="45"/>
      <c r="AC136" s="45"/>
      <c r="AD136" s="45"/>
      <c r="AE136" s="47"/>
      <c r="AF136" s="70"/>
      <c r="AG136" s="70"/>
      <c r="AH136" s="70"/>
      <c r="AI136" s="12">
        <v>8</v>
      </c>
      <c r="AJ136" s="36"/>
      <c r="AK136" s="36"/>
      <c r="AL136" s="36"/>
      <c r="AM136" s="36"/>
      <c r="AN136" s="36"/>
    </row>
    <row r="137" spans="1:40">
      <c r="A137" s="11" t="s">
        <v>14</v>
      </c>
      <c r="B137" s="16" t="s">
        <v>4</v>
      </c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2"/>
      <c r="V137" s="2"/>
      <c r="W137" s="2"/>
      <c r="X137" s="17"/>
      <c r="Y137" s="36"/>
      <c r="Z137" s="36"/>
      <c r="AA137" s="45"/>
      <c r="AB137" s="45"/>
      <c r="AC137" s="45"/>
      <c r="AD137" s="45"/>
      <c r="AE137" s="47"/>
      <c r="AF137" s="70"/>
      <c r="AG137" s="70"/>
      <c r="AH137" s="70"/>
      <c r="AI137" s="12">
        <v>1996273</v>
      </c>
      <c r="AJ137" s="36"/>
      <c r="AK137" s="36"/>
      <c r="AL137" s="36"/>
      <c r="AM137" s="36"/>
      <c r="AN137" s="36"/>
    </row>
    <row r="138" spans="1:40">
      <c r="A138" s="11" t="s">
        <v>143</v>
      </c>
      <c r="B138" s="16" t="s">
        <v>4</v>
      </c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2"/>
      <c r="V138" s="2"/>
      <c r="W138" s="2"/>
      <c r="X138" s="17"/>
      <c r="Y138" s="36"/>
      <c r="Z138" s="36"/>
      <c r="AA138" s="45"/>
      <c r="AB138" s="45"/>
      <c r="AC138" s="45"/>
      <c r="AD138" s="45"/>
      <c r="AE138" s="47"/>
      <c r="AF138" s="70"/>
      <c r="AG138" s="70"/>
      <c r="AH138" s="70"/>
      <c r="AI138" s="12">
        <v>206727</v>
      </c>
      <c r="AJ138" s="36"/>
      <c r="AK138" s="36"/>
      <c r="AL138" s="36"/>
      <c r="AM138" s="36"/>
      <c r="AN138" s="36"/>
    </row>
    <row r="139" spans="1:40">
      <c r="A139" s="11" t="s">
        <v>144</v>
      </c>
      <c r="B139" s="16" t="s">
        <v>4</v>
      </c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2"/>
      <c r="V139" s="2"/>
      <c r="W139" s="2"/>
      <c r="X139" s="17"/>
      <c r="Y139" s="36"/>
      <c r="Z139" s="36"/>
      <c r="AA139" s="45"/>
      <c r="AB139" s="45"/>
      <c r="AC139" s="45"/>
      <c r="AD139" s="45"/>
      <c r="AE139" s="47"/>
      <c r="AF139" s="70"/>
      <c r="AG139" s="70"/>
      <c r="AH139" s="70"/>
      <c r="AI139" s="12"/>
      <c r="AJ139" s="36"/>
      <c r="AK139" s="36"/>
      <c r="AL139" s="36"/>
      <c r="AM139" s="36"/>
      <c r="AN139" s="36"/>
    </row>
    <row r="140" spans="1:40">
      <c r="A140" s="11" t="s">
        <v>145</v>
      </c>
      <c r="B140" s="16" t="s">
        <v>4</v>
      </c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2"/>
      <c r="V140" s="2"/>
      <c r="W140" s="2"/>
      <c r="X140" s="17"/>
      <c r="Y140" s="36"/>
      <c r="Z140" s="36"/>
      <c r="AA140" s="45"/>
      <c r="AB140" s="45"/>
      <c r="AC140" s="45"/>
      <c r="AD140" s="45"/>
      <c r="AE140" s="47"/>
      <c r="AF140" s="70"/>
      <c r="AG140" s="70"/>
      <c r="AH140" s="70"/>
      <c r="AI140" s="12">
        <v>301312</v>
      </c>
      <c r="AJ140" s="36"/>
      <c r="AK140" s="36"/>
      <c r="AL140" s="36"/>
      <c r="AM140" s="36"/>
      <c r="AN140" s="36"/>
    </row>
    <row r="141" spans="1:40">
      <c r="A141" s="11" t="s">
        <v>146</v>
      </c>
      <c r="B141" s="16" t="s">
        <v>4</v>
      </c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2"/>
      <c r="V141" s="2"/>
      <c r="W141" s="2"/>
      <c r="X141" s="17"/>
      <c r="Y141" s="36"/>
      <c r="Z141" s="36"/>
      <c r="AA141" s="45"/>
      <c r="AB141" s="45"/>
      <c r="AC141" s="45"/>
      <c r="AD141" s="45"/>
      <c r="AE141" s="47"/>
      <c r="AF141" s="70"/>
      <c r="AG141" s="70"/>
      <c r="AH141" s="70"/>
      <c r="AI141" s="12">
        <v>139707</v>
      </c>
      <c r="AJ141" s="36"/>
      <c r="AK141" s="36"/>
      <c r="AL141" s="36"/>
      <c r="AM141" s="36"/>
      <c r="AN141" s="36"/>
    </row>
    <row r="142" spans="1:40">
      <c r="A142" s="6" t="s">
        <v>15</v>
      </c>
      <c r="B142" s="6" t="s">
        <v>4</v>
      </c>
      <c r="C142" s="13">
        <f t="shared" ref="C142:AH142" si="79">SUM(C143,C155,C169)</f>
        <v>0</v>
      </c>
      <c r="D142" s="13">
        <f t="shared" si="79"/>
        <v>0</v>
      </c>
      <c r="E142" s="13">
        <f t="shared" si="79"/>
        <v>0</v>
      </c>
      <c r="F142" s="13">
        <f t="shared" si="79"/>
        <v>0</v>
      </c>
      <c r="G142" s="13">
        <f t="shared" si="79"/>
        <v>0</v>
      </c>
      <c r="H142" s="13">
        <f t="shared" si="79"/>
        <v>0</v>
      </c>
      <c r="I142" s="13">
        <f t="shared" si="79"/>
        <v>0</v>
      </c>
      <c r="J142" s="13">
        <f t="shared" si="79"/>
        <v>0</v>
      </c>
      <c r="K142" s="13">
        <f t="shared" si="79"/>
        <v>0</v>
      </c>
      <c r="L142" s="13">
        <f t="shared" si="79"/>
        <v>0</v>
      </c>
      <c r="M142" s="13">
        <f t="shared" si="79"/>
        <v>0</v>
      </c>
      <c r="N142" s="13">
        <f t="shared" si="79"/>
        <v>0</v>
      </c>
      <c r="O142" s="13">
        <f t="shared" si="79"/>
        <v>0</v>
      </c>
      <c r="P142" s="13">
        <f t="shared" si="79"/>
        <v>0</v>
      </c>
      <c r="Q142" s="13">
        <f t="shared" si="79"/>
        <v>0</v>
      </c>
      <c r="R142" s="13">
        <f t="shared" si="79"/>
        <v>0</v>
      </c>
      <c r="S142" s="13">
        <f t="shared" si="79"/>
        <v>0</v>
      </c>
      <c r="T142" s="13">
        <f t="shared" si="79"/>
        <v>0</v>
      </c>
      <c r="U142" s="13">
        <f t="shared" si="79"/>
        <v>0</v>
      </c>
      <c r="V142" s="13">
        <f t="shared" si="79"/>
        <v>0</v>
      </c>
      <c r="W142" s="13">
        <f t="shared" si="79"/>
        <v>0</v>
      </c>
      <c r="X142" s="13">
        <f t="shared" si="79"/>
        <v>0</v>
      </c>
      <c r="Y142" s="13">
        <f t="shared" si="79"/>
        <v>0</v>
      </c>
      <c r="Z142" s="13">
        <f t="shared" si="79"/>
        <v>0</v>
      </c>
      <c r="AA142" s="13">
        <f t="shared" si="79"/>
        <v>0</v>
      </c>
      <c r="AB142" s="13">
        <f t="shared" si="79"/>
        <v>0</v>
      </c>
      <c r="AC142" s="13">
        <f t="shared" si="79"/>
        <v>0</v>
      </c>
      <c r="AD142" s="13">
        <f t="shared" si="79"/>
        <v>0</v>
      </c>
      <c r="AE142" s="13">
        <f t="shared" si="79"/>
        <v>0</v>
      </c>
      <c r="AF142" s="13">
        <f t="shared" si="79"/>
        <v>0</v>
      </c>
      <c r="AG142" s="13">
        <f t="shared" si="79"/>
        <v>0</v>
      </c>
      <c r="AH142" s="13">
        <f t="shared" si="79"/>
        <v>0</v>
      </c>
      <c r="AI142" s="13">
        <f>SUM(AI143,AI155,AI169)</f>
        <v>3931137</v>
      </c>
      <c r="AJ142" s="43"/>
      <c r="AK142" s="36"/>
      <c r="AL142" s="36"/>
      <c r="AM142" s="36"/>
      <c r="AN142" s="36"/>
    </row>
    <row r="143" spans="1:40">
      <c r="A143" s="9" t="s">
        <v>11</v>
      </c>
      <c r="B143" s="16" t="s">
        <v>4</v>
      </c>
      <c r="C143" s="12">
        <f t="shared" ref="C143:AH143" si="80">SUM(C144:C154)</f>
        <v>0</v>
      </c>
      <c r="D143" s="12">
        <f t="shared" si="80"/>
        <v>0</v>
      </c>
      <c r="E143" s="12">
        <f t="shared" si="80"/>
        <v>0</v>
      </c>
      <c r="F143" s="12">
        <f t="shared" si="80"/>
        <v>0</v>
      </c>
      <c r="G143" s="12">
        <f t="shared" si="80"/>
        <v>0</v>
      </c>
      <c r="H143" s="12">
        <f t="shared" si="80"/>
        <v>0</v>
      </c>
      <c r="I143" s="12">
        <f t="shared" si="80"/>
        <v>0</v>
      </c>
      <c r="J143" s="12">
        <f t="shared" si="80"/>
        <v>0</v>
      </c>
      <c r="K143" s="12">
        <f t="shared" si="80"/>
        <v>0</v>
      </c>
      <c r="L143" s="12">
        <f t="shared" si="80"/>
        <v>0</v>
      </c>
      <c r="M143" s="12">
        <f t="shared" si="80"/>
        <v>0</v>
      </c>
      <c r="N143" s="12">
        <f t="shared" si="80"/>
        <v>0</v>
      </c>
      <c r="O143" s="12">
        <f t="shared" si="80"/>
        <v>0</v>
      </c>
      <c r="P143" s="12">
        <f t="shared" si="80"/>
        <v>0</v>
      </c>
      <c r="Q143" s="12">
        <f t="shared" si="80"/>
        <v>0</v>
      </c>
      <c r="R143" s="12">
        <f t="shared" si="80"/>
        <v>0</v>
      </c>
      <c r="S143" s="12">
        <f t="shared" si="80"/>
        <v>0</v>
      </c>
      <c r="T143" s="12">
        <f t="shared" si="80"/>
        <v>0</v>
      </c>
      <c r="U143" s="12">
        <f t="shared" si="80"/>
        <v>0</v>
      </c>
      <c r="V143" s="12">
        <f t="shared" si="80"/>
        <v>0</v>
      </c>
      <c r="W143" s="12">
        <f t="shared" si="80"/>
        <v>0</v>
      </c>
      <c r="X143" s="12">
        <f t="shared" si="80"/>
        <v>0</v>
      </c>
      <c r="Y143" s="12">
        <f t="shared" si="80"/>
        <v>0</v>
      </c>
      <c r="Z143" s="12">
        <f t="shared" si="80"/>
        <v>0</v>
      </c>
      <c r="AA143" s="12">
        <f t="shared" si="80"/>
        <v>0</v>
      </c>
      <c r="AB143" s="12">
        <f t="shared" si="80"/>
        <v>0</v>
      </c>
      <c r="AC143" s="12">
        <f t="shared" si="80"/>
        <v>0</v>
      </c>
      <c r="AD143" s="12">
        <f t="shared" si="80"/>
        <v>0</v>
      </c>
      <c r="AE143" s="12">
        <f t="shared" si="80"/>
        <v>0</v>
      </c>
      <c r="AF143" s="12">
        <f t="shared" si="80"/>
        <v>0</v>
      </c>
      <c r="AG143" s="12">
        <f t="shared" si="80"/>
        <v>0</v>
      </c>
      <c r="AH143" s="12">
        <f t="shared" si="80"/>
        <v>0</v>
      </c>
      <c r="AI143" s="12">
        <f>SUM(AI144:AI154)</f>
        <v>838748</v>
      </c>
      <c r="AJ143" s="36"/>
      <c r="AK143" s="36"/>
      <c r="AL143" s="36"/>
      <c r="AM143" s="36"/>
      <c r="AN143" s="36"/>
    </row>
    <row r="144" spans="1:40">
      <c r="A144" s="11" t="s">
        <v>147</v>
      </c>
      <c r="B144" s="16" t="s">
        <v>4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2"/>
      <c r="V144" s="2"/>
      <c r="W144" s="2"/>
      <c r="X144" s="17"/>
      <c r="Y144" s="36"/>
      <c r="Z144" s="40"/>
      <c r="AA144" s="40"/>
      <c r="AB144" s="40"/>
      <c r="AC144" s="40"/>
      <c r="AD144" s="53"/>
      <c r="AE144" s="53"/>
      <c r="AF144" s="69"/>
      <c r="AG144" s="69"/>
      <c r="AH144" s="69"/>
      <c r="AI144" s="12">
        <v>387058</v>
      </c>
      <c r="AJ144" s="36"/>
      <c r="AK144" s="36"/>
      <c r="AL144" s="36"/>
      <c r="AM144" s="36"/>
      <c r="AN144" s="36"/>
    </row>
    <row r="145" spans="1:42">
      <c r="A145" s="11" t="s">
        <v>148</v>
      </c>
      <c r="B145" s="16" t="s">
        <v>4</v>
      </c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2"/>
      <c r="V145" s="2"/>
      <c r="W145" s="2"/>
      <c r="X145" s="17"/>
      <c r="Y145" s="36"/>
      <c r="Z145" s="36"/>
      <c r="AA145" s="36"/>
      <c r="AB145" s="36"/>
      <c r="AC145" s="36"/>
      <c r="AD145" s="47"/>
      <c r="AE145" s="47"/>
      <c r="AF145" s="47"/>
      <c r="AG145" s="47"/>
      <c r="AH145" s="47"/>
      <c r="AI145" s="12">
        <v>0</v>
      </c>
      <c r="AJ145" s="36"/>
      <c r="AK145" s="36"/>
      <c r="AL145" s="36"/>
      <c r="AM145" s="36"/>
      <c r="AN145" s="36"/>
      <c r="AO145" s="63"/>
    </row>
    <row r="146" spans="1:42">
      <c r="A146" s="11" t="s">
        <v>149</v>
      </c>
      <c r="B146" s="16" t="s">
        <v>4</v>
      </c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2"/>
      <c r="V146" s="2"/>
      <c r="W146" s="2"/>
      <c r="X146" s="17"/>
      <c r="Y146" s="36"/>
      <c r="Z146" s="40"/>
      <c r="AA146" s="40"/>
      <c r="AB146" s="40"/>
      <c r="AC146" s="40"/>
      <c r="AD146" s="53"/>
      <c r="AE146" s="53"/>
      <c r="AF146" s="69"/>
      <c r="AG146" s="69"/>
      <c r="AH146" s="69"/>
      <c r="AI146" s="12">
        <v>13378</v>
      </c>
      <c r="AJ146" s="36"/>
      <c r="AK146" s="36"/>
      <c r="AL146" s="36"/>
      <c r="AM146" s="36"/>
      <c r="AN146" s="36"/>
      <c r="AO146" s="63"/>
    </row>
    <row r="147" spans="1:42">
      <c r="A147" s="11" t="s">
        <v>150</v>
      </c>
      <c r="B147" s="16" t="s">
        <v>4</v>
      </c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2"/>
      <c r="V147" s="2"/>
      <c r="W147" s="2"/>
      <c r="X147" s="17"/>
      <c r="Y147" s="36"/>
      <c r="Z147" s="40"/>
      <c r="AA147" s="40"/>
      <c r="AB147" s="40"/>
      <c r="AC147" s="40"/>
      <c r="AD147" s="53"/>
      <c r="AE147" s="53"/>
      <c r="AF147" s="69"/>
      <c r="AG147" s="69"/>
      <c r="AH147" s="69"/>
      <c r="AI147" s="12">
        <v>29687</v>
      </c>
      <c r="AJ147" s="36"/>
      <c r="AK147" s="36"/>
      <c r="AL147" s="36"/>
      <c r="AM147" s="36"/>
      <c r="AN147" s="36"/>
      <c r="AO147" s="63"/>
    </row>
    <row r="148" spans="1:42">
      <c r="A148" s="11" t="s">
        <v>120</v>
      </c>
      <c r="B148" s="16" t="s">
        <v>4</v>
      </c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39"/>
      <c r="Z148" s="39"/>
      <c r="AA148" s="39"/>
      <c r="AB148" s="39"/>
      <c r="AC148" s="39"/>
      <c r="AD148" s="53"/>
      <c r="AE148" s="53"/>
      <c r="AF148" s="47"/>
      <c r="AG148" s="47"/>
      <c r="AH148" s="47"/>
      <c r="AI148" s="15">
        <v>174442</v>
      </c>
      <c r="AJ148" s="36"/>
      <c r="AK148" s="36"/>
      <c r="AL148" s="36"/>
      <c r="AM148" s="36"/>
      <c r="AN148" s="36"/>
      <c r="AO148" s="63"/>
    </row>
    <row r="149" spans="1:42">
      <c r="A149" s="11" t="s">
        <v>151</v>
      </c>
      <c r="B149" s="16" t="s">
        <v>4</v>
      </c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39"/>
      <c r="Z149" s="39"/>
      <c r="AA149" s="39"/>
      <c r="AB149" s="39"/>
      <c r="AC149" s="39"/>
      <c r="AD149" s="53"/>
      <c r="AE149" s="53"/>
      <c r="AF149" s="69"/>
      <c r="AG149" s="47"/>
      <c r="AH149" s="47"/>
      <c r="AI149" s="15">
        <v>74047</v>
      </c>
      <c r="AJ149" s="36"/>
      <c r="AK149" s="36"/>
      <c r="AL149" s="36"/>
      <c r="AM149" s="36"/>
      <c r="AN149" s="36"/>
      <c r="AO149" s="63"/>
    </row>
    <row r="150" spans="1:42">
      <c r="A150" s="11" t="s">
        <v>152</v>
      </c>
      <c r="B150" s="16" t="s">
        <v>4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2"/>
      <c r="V150" s="2"/>
      <c r="W150" s="2"/>
      <c r="X150" s="17"/>
      <c r="Y150" s="36"/>
      <c r="Z150" s="53"/>
      <c r="AA150" s="40"/>
      <c r="AB150" s="40"/>
      <c r="AC150" s="46"/>
      <c r="AD150" s="46"/>
      <c r="AE150" s="47"/>
      <c r="AF150" s="47"/>
      <c r="AG150" s="47"/>
      <c r="AH150" s="47"/>
      <c r="AI150" s="12">
        <v>6845</v>
      </c>
      <c r="AL150" s="59"/>
      <c r="AM150" s="61"/>
      <c r="AN150" s="36"/>
      <c r="AO150" s="63"/>
      <c r="AP150" s="48"/>
    </row>
    <row r="151" spans="1:42">
      <c r="A151" s="11" t="s">
        <v>153</v>
      </c>
      <c r="B151" s="16" t="s">
        <v>4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2"/>
      <c r="V151" s="2"/>
      <c r="W151" s="2"/>
      <c r="X151" s="17"/>
      <c r="Y151" s="36"/>
      <c r="Z151" s="53"/>
      <c r="AA151" s="40"/>
      <c r="AB151" s="40"/>
      <c r="AC151" s="40"/>
      <c r="AD151" s="53"/>
      <c r="AE151" s="53"/>
      <c r="AF151" s="69"/>
      <c r="AG151" s="69"/>
      <c r="AH151" s="69"/>
      <c r="AI151" s="13">
        <v>7534</v>
      </c>
      <c r="AL151" s="60"/>
      <c r="AM151" s="59"/>
      <c r="AN151" s="36"/>
      <c r="AO151" s="59"/>
      <c r="AP151" s="48"/>
    </row>
    <row r="152" spans="1:42">
      <c r="A152" s="11" t="s">
        <v>113</v>
      </c>
      <c r="B152" s="16" t="s">
        <v>4</v>
      </c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2"/>
      <c r="V152" s="2"/>
      <c r="W152" s="2"/>
      <c r="X152" s="17"/>
      <c r="Y152" s="36"/>
      <c r="Z152" s="53"/>
      <c r="AA152" s="36"/>
      <c r="AB152" s="36"/>
      <c r="AC152" s="36"/>
      <c r="AD152" s="53"/>
      <c r="AE152" s="53"/>
      <c r="AF152" s="69"/>
      <c r="AG152" s="69"/>
      <c r="AH152" s="69"/>
      <c r="AI152" s="12">
        <v>0</v>
      </c>
      <c r="AP152" s="62"/>
    </row>
    <row r="153" spans="1:42">
      <c r="A153" s="11" t="s">
        <v>154</v>
      </c>
      <c r="B153" s="16" t="s">
        <v>4</v>
      </c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2"/>
      <c r="V153" s="2"/>
      <c r="W153" s="2"/>
      <c r="X153" s="17"/>
      <c r="Y153" s="36"/>
      <c r="Z153" s="53"/>
      <c r="AA153" s="40"/>
      <c r="AB153" s="40"/>
      <c r="AC153" s="40"/>
      <c r="AD153" s="53"/>
      <c r="AE153" s="53"/>
      <c r="AF153" s="69"/>
      <c r="AG153" s="69"/>
      <c r="AH153" s="69"/>
      <c r="AI153" s="12">
        <v>114719</v>
      </c>
    </row>
    <row r="154" spans="1:42">
      <c r="A154" s="11" t="s">
        <v>36</v>
      </c>
      <c r="B154" s="16" t="s">
        <v>4</v>
      </c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2"/>
      <c r="V154" s="2"/>
      <c r="W154" s="2"/>
      <c r="X154" s="17"/>
      <c r="Y154" s="36"/>
      <c r="Z154" s="53"/>
      <c r="AA154" s="36"/>
      <c r="AB154" s="36"/>
      <c r="AC154" s="36"/>
      <c r="AD154" s="36"/>
      <c r="AE154" s="36"/>
      <c r="AF154" s="36"/>
      <c r="AG154" s="36"/>
      <c r="AH154" s="36"/>
      <c r="AI154" s="12">
        <v>31038</v>
      </c>
      <c r="AJ154" s="36"/>
    </row>
    <row r="155" spans="1:42">
      <c r="A155" s="9" t="s">
        <v>13</v>
      </c>
      <c r="B155" s="16" t="s">
        <v>4</v>
      </c>
      <c r="C155" s="15">
        <f t="shared" ref="C155:AH155" si="81">SUM(C156:C163)</f>
        <v>0</v>
      </c>
      <c r="D155" s="15">
        <f t="shared" si="81"/>
        <v>0</v>
      </c>
      <c r="E155" s="15">
        <f t="shared" si="81"/>
        <v>0</v>
      </c>
      <c r="F155" s="15">
        <f t="shared" si="81"/>
        <v>0</v>
      </c>
      <c r="G155" s="15">
        <f t="shared" si="81"/>
        <v>0</v>
      </c>
      <c r="H155" s="15">
        <f t="shared" si="81"/>
        <v>0</v>
      </c>
      <c r="I155" s="15">
        <f t="shared" si="81"/>
        <v>0</v>
      </c>
      <c r="J155" s="15">
        <f t="shared" si="81"/>
        <v>0</v>
      </c>
      <c r="K155" s="15">
        <f t="shared" si="81"/>
        <v>0</v>
      </c>
      <c r="L155" s="15">
        <f t="shared" si="81"/>
        <v>0</v>
      </c>
      <c r="M155" s="15">
        <f t="shared" si="81"/>
        <v>0</v>
      </c>
      <c r="N155" s="15">
        <f t="shared" si="81"/>
        <v>0</v>
      </c>
      <c r="O155" s="15">
        <f t="shared" si="81"/>
        <v>0</v>
      </c>
      <c r="P155" s="15">
        <f t="shared" si="81"/>
        <v>0</v>
      </c>
      <c r="Q155" s="15">
        <f t="shared" si="81"/>
        <v>0</v>
      </c>
      <c r="R155" s="15">
        <f t="shared" si="81"/>
        <v>0</v>
      </c>
      <c r="S155" s="15">
        <f t="shared" si="81"/>
        <v>0</v>
      </c>
      <c r="T155" s="15">
        <f t="shared" si="81"/>
        <v>0</v>
      </c>
      <c r="U155" s="15">
        <f t="shared" si="81"/>
        <v>0</v>
      </c>
      <c r="V155" s="15">
        <f t="shared" si="81"/>
        <v>0</v>
      </c>
      <c r="W155" s="15">
        <f t="shared" si="81"/>
        <v>0</v>
      </c>
      <c r="X155" s="15">
        <f t="shared" si="81"/>
        <v>0</v>
      </c>
      <c r="Y155" s="15">
        <f t="shared" si="81"/>
        <v>0</v>
      </c>
      <c r="Z155" s="15">
        <f t="shared" si="81"/>
        <v>0</v>
      </c>
      <c r="AA155" s="15">
        <f t="shared" si="81"/>
        <v>0</v>
      </c>
      <c r="AB155" s="15">
        <f t="shared" si="81"/>
        <v>0</v>
      </c>
      <c r="AC155" s="15">
        <f t="shared" si="81"/>
        <v>0</v>
      </c>
      <c r="AD155" s="15">
        <f t="shared" si="81"/>
        <v>0</v>
      </c>
      <c r="AE155" s="15">
        <f t="shared" si="81"/>
        <v>0</v>
      </c>
      <c r="AF155" s="15">
        <f t="shared" si="81"/>
        <v>0</v>
      </c>
      <c r="AG155" s="15">
        <f t="shared" si="81"/>
        <v>0</v>
      </c>
      <c r="AH155" s="15">
        <f t="shared" si="81"/>
        <v>0</v>
      </c>
      <c r="AI155" s="15">
        <f>SUM(AI156:AI163)</f>
        <v>2276953</v>
      </c>
    </row>
    <row r="156" spans="1:42">
      <c r="A156" s="11" t="s">
        <v>148</v>
      </c>
      <c r="B156" s="16" t="s">
        <v>4</v>
      </c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24"/>
      <c r="V156" s="24"/>
      <c r="W156" s="24"/>
      <c r="X156" s="17"/>
      <c r="Y156" s="36"/>
      <c r="Z156" s="36"/>
      <c r="AA156" s="36"/>
      <c r="AB156" s="36"/>
      <c r="AC156" s="36"/>
      <c r="AD156" s="47"/>
      <c r="AE156" s="47"/>
      <c r="AF156" s="47"/>
      <c r="AG156" s="47"/>
      <c r="AH156" s="47"/>
      <c r="AI156" s="15">
        <v>1700161</v>
      </c>
      <c r="AJ156" s="47"/>
    </row>
    <row r="157" spans="1:42">
      <c r="A157" s="11" t="s">
        <v>149</v>
      </c>
      <c r="B157" s="16" t="s">
        <v>4</v>
      </c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2"/>
      <c r="V157" s="2"/>
      <c r="W157" s="2"/>
      <c r="X157" s="17"/>
      <c r="Y157" s="36"/>
      <c r="Z157" s="36"/>
      <c r="AA157" s="36"/>
      <c r="AB157" s="36"/>
      <c r="AC157" s="36"/>
      <c r="AD157" s="47"/>
      <c r="AE157" s="47"/>
      <c r="AF157" s="47"/>
      <c r="AG157" s="47"/>
      <c r="AH157" s="47"/>
      <c r="AI157" s="12">
        <v>38644</v>
      </c>
    </row>
    <row r="158" spans="1:42">
      <c r="A158" s="11" t="s">
        <v>155</v>
      </c>
      <c r="B158" s="16" t="s">
        <v>4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2"/>
      <c r="V158" s="2"/>
      <c r="W158" s="2"/>
      <c r="X158" s="17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12">
        <v>62797</v>
      </c>
    </row>
    <row r="159" spans="1:42">
      <c r="A159" s="11" t="s">
        <v>156</v>
      </c>
      <c r="B159" s="16" t="s">
        <v>4</v>
      </c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2"/>
      <c r="V159" s="2"/>
      <c r="W159" s="2"/>
      <c r="X159" s="17"/>
      <c r="Y159" s="36"/>
      <c r="Z159" s="40"/>
      <c r="AA159" s="40"/>
      <c r="AB159" s="40"/>
      <c r="AC159" s="40"/>
      <c r="AD159" s="40"/>
      <c r="AE159" s="40"/>
      <c r="AF159" s="40"/>
      <c r="AG159" s="40"/>
      <c r="AH159" s="40"/>
      <c r="AI159" s="12">
        <v>25224</v>
      </c>
    </row>
    <row r="160" spans="1:42">
      <c r="A160" s="11" t="s">
        <v>120</v>
      </c>
      <c r="B160" s="16" t="s">
        <v>4</v>
      </c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2"/>
      <c r="V160" s="2"/>
      <c r="W160" s="2"/>
      <c r="X160" s="17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12">
        <v>61641</v>
      </c>
    </row>
    <row r="161" spans="1:36">
      <c r="A161" s="11" t="s">
        <v>157</v>
      </c>
      <c r="B161" s="16" t="s">
        <v>4</v>
      </c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2"/>
      <c r="V161" s="2"/>
      <c r="W161" s="2"/>
      <c r="X161" s="17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12">
        <v>158049</v>
      </c>
    </row>
    <row r="162" spans="1:36">
      <c r="A162" s="11" t="s">
        <v>154</v>
      </c>
      <c r="B162" s="16" t="s">
        <v>4</v>
      </c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2"/>
      <c r="V162" s="2"/>
      <c r="W162" s="2"/>
      <c r="X162" s="17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12">
        <v>109867</v>
      </c>
    </row>
    <row r="163" spans="1:36">
      <c r="A163" s="11" t="s">
        <v>36</v>
      </c>
      <c r="B163" s="16" t="s">
        <v>4</v>
      </c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2"/>
      <c r="V163" s="2"/>
      <c r="W163" s="2"/>
      <c r="X163" s="17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12">
        <v>120570</v>
      </c>
    </row>
    <row r="164" spans="1:36">
      <c r="A164" s="9" t="s">
        <v>158</v>
      </c>
      <c r="B164" s="16" t="s">
        <v>4</v>
      </c>
      <c r="C164" s="12">
        <f t="shared" ref="C164:AH164" si="82">SUM(C165:C168)</f>
        <v>0</v>
      </c>
      <c r="D164" s="12">
        <f t="shared" si="82"/>
        <v>0</v>
      </c>
      <c r="E164" s="12">
        <f t="shared" si="82"/>
        <v>0</v>
      </c>
      <c r="F164" s="12">
        <f t="shared" si="82"/>
        <v>0</v>
      </c>
      <c r="G164" s="12">
        <f t="shared" si="82"/>
        <v>0</v>
      </c>
      <c r="H164" s="12">
        <f t="shared" si="82"/>
        <v>0</v>
      </c>
      <c r="I164" s="12">
        <f t="shared" si="82"/>
        <v>0</v>
      </c>
      <c r="J164" s="12">
        <f t="shared" si="82"/>
        <v>0</v>
      </c>
      <c r="K164" s="12">
        <f t="shared" si="82"/>
        <v>0</v>
      </c>
      <c r="L164" s="12">
        <f t="shared" si="82"/>
        <v>0</v>
      </c>
      <c r="M164" s="12">
        <f t="shared" si="82"/>
        <v>0</v>
      </c>
      <c r="N164" s="12">
        <f t="shared" si="82"/>
        <v>0</v>
      </c>
      <c r="O164" s="12">
        <f t="shared" si="82"/>
        <v>0</v>
      </c>
      <c r="P164" s="12">
        <f t="shared" si="82"/>
        <v>0</v>
      </c>
      <c r="Q164" s="12">
        <f t="shared" si="82"/>
        <v>0</v>
      </c>
      <c r="R164" s="12">
        <f t="shared" si="82"/>
        <v>0</v>
      </c>
      <c r="S164" s="12">
        <f t="shared" si="82"/>
        <v>0</v>
      </c>
      <c r="T164" s="12">
        <f t="shared" si="82"/>
        <v>0</v>
      </c>
      <c r="U164" s="12">
        <f t="shared" si="82"/>
        <v>0</v>
      </c>
      <c r="V164" s="12">
        <f t="shared" si="82"/>
        <v>0</v>
      </c>
      <c r="W164" s="12">
        <f t="shared" si="82"/>
        <v>0</v>
      </c>
      <c r="X164" s="12">
        <f t="shared" si="82"/>
        <v>0</v>
      </c>
      <c r="Y164" s="12">
        <f t="shared" si="82"/>
        <v>0</v>
      </c>
      <c r="Z164" s="12">
        <f t="shared" si="82"/>
        <v>0</v>
      </c>
      <c r="AA164" s="12">
        <f t="shared" si="82"/>
        <v>0</v>
      </c>
      <c r="AB164" s="12">
        <f t="shared" si="82"/>
        <v>0</v>
      </c>
      <c r="AC164" s="12">
        <f t="shared" si="82"/>
        <v>0</v>
      </c>
      <c r="AD164" s="12">
        <f t="shared" si="82"/>
        <v>0</v>
      </c>
      <c r="AE164" s="12">
        <f t="shared" si="82"/>
        <v>0</v>
      </c>
      <c r="AF164" s="12">
        <f t="shared" si="82"/>
        <v>0</v>
      </c>
      <c r="AG164" s="12">
        <f t="shared" si="82"/>
        <v>0</v>
      </c>
      <c r="AH164" s="12">
        <f t="shared" si="82"/>
        <v>0</v>
      </c>
      <c r="AI164" s="12">
        <f>SUM(AI165:AI168)</f>
        <v>734479</v>
      </c>
      <c r="AJ164" s="57"/>
    </row>
    <row r="165" spans="1:36">
      <c r="A165" s="11" t="s">
        <v>17</v>
      </c>
      <c r="B165" s="16" t="s">
        <v>4</v>
      </c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25"/>
      <c r="V165" s="25"/>
      <c r="W165" s="25"/>
      <c r="X165" s="17"/>
      <c r="Y165" s="36"/>
      <c r="Z165" s="53"/>
      <c r="AA165" s="53"/>
      <c r="AB165" s="53"/>
      <c r="AC165" s="53"/>
      <c r="AD165" s="53"/>
      <c r="AE165" s="53"/>
      <c r="AF165" s="69"/>
      <c r="AG165" s="69"/>
      <c r="AH165" s="69"/>
      <c r="AI165" s="15">
        <v>2865528</v>
      </c>
      <c r="AJ165" s="57"/>
    </row>
    <row r="166" spans="1:36">
      <c r="A166" s="11" t="s">
        <v>159</v>
      </c>
      <c r="B166" s="16" t="s">
        <v>4</v>
      </c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2"/>
      <c r="V166" s="2"/>
      <c r="W166" s="2"/>
      <c r="X166" s="17"/>
      <c r="Y166" s="36"/>
      <c r="Z166" s="36"/>
      <c r="AA166" s="36"/>
      <c r="AB166" s="36"/>
      <c r="AC166" s="45"/>
      <c r="AD166" s="45"/>
      <c r="AE166" s="45"/>
      <c r="AF166" s="45"/>
      <c r="AG166" s="45"/>
      <c r="AH166" s="45"/>
      <c r="AI166" s="15">
        <v>117619</v>
      </c>
      <c r="AJ166" s="57"/>
    </row>
    <row r="167" spans="1:36">
      <c r="A167" s="11" t="s">
        <v>160</v>
      </c>
      <c r="B167" s="16" t="s">
        <v>4</v>
      </c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2"/>
      <c r="V167" s="2"/>
      <c r="W167" s="2"/>
      <c r="X167" s="2"/>
      <c r="Y167" s="36"/>
      <c r="Z167" s="36"/>
      <c r="AA167" s="36"/>
      <c r="AB167" s="36"/>
      <c r="AC167" s="45"/>
      <c r="AD167" s="45"/>
      <c r="AE167" s="45"/>
      <c r="AF167" s="45"/>
      <c r="AG167" s="45"/>
      <c r="AH167" s="45"/>
      <c r="AI167" s="12">
        <v>92</v>
      </c>
      <c r="AJ167" s="57"/>
    </row>
    <row r="168" spans="1:36">
      <c r="A168" s="11" t="s">
        <v>161</v>
      </c>
      <c r="B168" s="16" t="s">
        <v>4</v>
      </c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2"/>
      <c r="V168" s="2"/>
      <c r="W168" s="2"/>
      <c r="X168" s="17"/>
      <c r="Y168" s="36"/>
      <c r="Z168" s="36"/>
      <c r="AA168" s="36"/>
      <c r="AB168" s="36"/>
      <c r="AC168" s="45"/>
      <c r="AD168" s="45"/>
      <c r="AE168" s="45"/>
      <c r="AF168" s="45"/>
      <c r="AG168" s="45"/>
      <c r="AH168" s="45"/>
      <c r="AI168" s="12">
        <v>-2248760</v>
      </c>
      <c r="AJ168" s="57"/>
    </row>
    <row r="169" spans="1:36">
      <c r="A169" s="9" t="s">
        <v>162</v>
      </c>
      <c r="B169" s="16" t="s">
        <v>4</v>
      </c>
      <c r="C169" s="12">
        <f t="shared" ref="C169:AH169" si="83">C164+C170</f>
        <v>0</v>
      </c>
      <c r="D169" s="12">
        <f t="shared" si="83"/>
        <v>0</v>
      </c>
      <c r="E169" s="12">
        <f t="shared" si="83"/>
        <v>0</v>
      </c>
      <c r="F169" s="12">
        <f t="shared" si="83"/>
        <v>0</v>
      </c>
      <c r="G169" s="12">
        <f t="shared" si="83"/>
        <v>0</v>
      </c>
      <c r="H169" s="12">
        <f t="shared" si="83"/>
        <v>0</v>
      </c>
      <c r="I169" s="12">
        <f t="shared" si="83"/>
        <v>0</v>
      </c>
      <c r="J169" s="12">
        <f t="shared" si="83"/>
        <v>0</v>
      </c>
      <c r="K169" s="12">
        <f t="shared" si="83"/>
        <v>0</v>
      </c>
      <c r="L169" s="12">
        <f t="shared" si="83"/>
        <v>0</v>
      </c>
      <c r="M169" s="12">
        <f t="shared" si="83"/>
        <v>0</v>
      </c>
      <c r="N169" s="12">
        <f t="shared" si="83"/>
        <v>0</v>
      </c>
      <c r="O169" s="12">
        <f t="shared" si="83"/>
        <v>0</v>
      </c>
      <c r="P169" s="12">
        <f t="shared" si="83"/>
        <v>0</v>
      </c>
      <c r="Q169" s="12">
        <f t="shared" si="83"/>
        <v>0</v>
      </c>
      <c r="R169" s="12">
        <f t="shared" si="83"/>
        <v>0</v>
      </c>
      <c r="S169" s="12">
        <f t="shared" si="83"/>
        <v>0</v>
      </c>
      <c r="T169" s="12">
        <f t="shared" si="83"/>
        <v>0</v>
      </c>
      <c r="U169" s="12">
        <f t="shared" si="83"/>
        <v>0</v>
      </c>
      <c r="V169" s="12">
        <f t="shared" si="83"/>
        <v>0</v>
      </c>
      <c r="W169" s="12">
        <f t="shared" si="83"/>
        <v>0</v>
      </c>
      <c r="X169" s="12">
        <f t="shared" si="83"/>
        <v>0</v>
      </c>
      <c r="Y169" s="12">
        <f t="shared" si="83"/>
        <v>0</v>
      </c>
      <c r="Z169" s="12">
        <f t="shared" si="83"/>
        <v>0</v>
      </c>
      <c r="AA169" s="12">
        <f t="shared" si="83"/>
        <v>0</v>
      </c>
      <c r="AB169" s="12">
        <f t="shared" si="83"/>
        <v>0</v>
      </c>
      <c r="AC169" s="12">
        <f t="shared" si="83"/>
        <v>0</v>
      </c>
      <c r="AD169" s="12">
        <f t="shared" si="83"/>
        <v>0</v>
      </c>
      <c r="AE169" s="12">
        <f t="shared" si="83"/>
        <v>0</v>
      </c>
      <c r="AF169" s="12">
        <f t="shared" si="83"/>
        <v>0</v>
      </c>
      <c r="AG169" s="12">
        <f t="shared" si="83"/>
        <v>0</v>
      </c>
      <c r="AH169" s="12">
        <f t="shared" si="83"/>
        <v>0</v>
      </c>
      <c r="AI169" s="12">
        <f>AI164+AI170</f>
        <v>815436</v>
      </c>
      <c r="AJ169" s="57"/>
    </row>
    <row r="170" spans="1:36">
      <c r="A170" s="11" t="s">
        <v>163</v>
      </c>
      <c r="B170" s="16" t="s">
        <v>4</v>
      </c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2"/>
      <c r="V170" s="2"/>
      <c r="W170" s="2"/>
      <c r="X170" s="17"/>
      <c r="Y170" s="36"/>
      <c r="Z170" s="40"/>
      <c r="AA170" s="40"/>
      <c r="AB170" s="40"/>
      <c r="AC170" s="46"/>
      <c r="AD170" s="46"/>
      <c r="AE170" s="64"/>
      <c r="AF170" s="64"/>
      <c r="AG170" s="64"/>
      <c r="AH170" s="64"/>
      <c r="AI170" s="12">
        <v>80957</v>
      </c>
      <c r="AJ170" s="57"/>
    </row>
    <row r="171" spans="1:36">
      <c r="A171" s="11"/>
      <c r="B171" s="16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2"/>
      <c r="V171" s="2"/>
      <c r="W171" s="2"/>
      <c r="X171" s="17"/>
      <c r="Y171" s="36"/>
      <c r="Z171" s="40"/>
      <c r="AA171" s="40"/>
      <c r="AB171" s="40"/>
      <c r="AC171" s="46"/>
      <c r="AD171" s="46"/>
      <c r="AE171" s="64"/>
      <c r="AF171" s="64"/>
      <c r="AG171" s="64"/>
      <c r="AH171" s="64"/>
      <c r="AI171" s="64"/>
      <c r="AJ171" s="57"/>
    </row>
    <row r="172" spans="1:36">
      <c r="A172" s="11"/>
      <c r="B172" s="16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2"/>
      <c r="V172" s="2"/>
      <c r="W172" s="2"/>
      <c r="X172" s="17"/>
      <c r="Y172" s="36"/>
      <c r="Z172" s="36"/>
      <c r="AA172" s="36"/>
      <c r="AB172" s="36"/>
      <c r="AC172" s="45"/>
      <c r="AD172" s="45"/>
      <c r="AE172" s="65"/>
      <c r="AF172" s="64"/>
      <c r="AG172" s="64"/>
      <c r="AH172" s="64"/>
      <c r="AI172" s="64"/>
      <c r="AJ172" s="57"/>
    </row>
    <row r="173" spans="1:36">
      <c r="A173" s="11"/>
      <c r="B173" s="16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2"/>
      <c r="V173" s="2"/>
      <c r="W173" s="2"/>
      <c r="X173" s="17"/>
      <c r="Y173" s="36"/>
      <c r="Z173" s="36"/>
      <c r="AA173" s="36"/>
      <c r="AB173" s="36"/>
      <c r="AC173" s="45"/>
      <c r="AD173" s="45"/>
      <c r="AE173" s="65"/>
      <c r="AF173" s="64"/>
      <c r="AG173" s="64"/>
      <c r="AH173" s="64"/>
      <c r="AI173" s="64"/>
      <c r="AJ173" s="57"/>
    </row>
    <row r="174" spans="1:36">
      <c r="A174" s="41"/>
      <c r="B174" s="42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6"/>
      <c r="Y174" s="35"/>
      <c r="Z174" s="35"/>
      <c r="AA174" s="35"/>
      <c r="AB174" s="35"/>
      <c r="AC174" s="12"/>
      <c r="AD174" s="12"/>
      <c r="AE174" s="66"/>
      <c r="AF174" s="66"/>
      <c r="AG174" s="66"/>
      <c r="AH174" s="66"/>
      <c r="AI174" s="66"/>
      <c r="AJ174" s="57"/>
    </row>
  </sheetData>
  <phoneticPr fontId="262" type="noConversion"/>
  <pageMargins left="0.511811024" right="0.511811024" top="0.78740157499999996" bottom="0.78740157499999996" header="0.31496062000000002" footer="0.31496062000000002"/>
  <pageSetup paperSize="9" scale="35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K41"/>
  <sheetViews>
    <sheetView showGridLines="0" zoomScaleNormal="100" workbookViewId="0">
      <pane xSplit="2" ySplit="5" topLeftCell="Y6" activePane="bottomRight" state="frozen"/>
      <selection pane="topRight" activeCell="C1" sqref="C1"/>
      <selection pane="bottomLeft" activeCell="A6" sqref="A6"/>
      <selection pane="bottomRight" activeCell="AB17" sqref="AB17"/>
    </sheetView>
  </sheetViews>
  <sheetFormatPr defaultRowHeight="12.75" outlineLevelCol="1"/>
  <cols>
    <col min="1" max="1" width="66.140625" style="98" bestFit="1" customWidth="1"/>
    <col min="2" max="2" width="13.5703125" style="98" bestFit="1" customWidth="1"/>
    <col min="3" max="6" width="12.5703125" style="98" customWidth="1"/>
    <col min="7" max="7" width="12.7109375" style="98" bestFit="1" customWidth="1"/>
    <col min="8" max="11" width="12.7109375" style="98" customWidth="1" outlineLevel="1"/>
    <col min="12" max="12" width="12.7109375" style="98" bestFit="1" customWidth="1"/>
    <col min="13" max="16" width="12.7109375" style="98" customWidth="1" outlineLevel="1"/>
    <col min="17" max="17" width="12.7109375" style="98" bestFit="1" customWidth="1"/>
    <col min="18" max="21" width="12.7109375" style="98" customWidth="1" outlineLevel="1"/>
    <col min="22" max="22" width="12.7109375" style="98" bestFit="1" customWidth="1"/>
    <col min="23" max="26" width="12.7109375" style="98" bestFit="1" customWidth="1" outlineLevel="1"/>
    <col min="27" max="27" width="12.7109375" style="98" bestFit="1" customWidth="1"/>
    <col min="28" max="31" width="12.7109375" style="98" bestFit="1" customWidth="1" outlineLevel="1"/>
    <col min="32" max="32" width="12.7109375" style="98" bestFit="1" customWidth="1"/>
    <col min="33" max="16384" width="9.140625" style="98"/>
  </cols>
  <sheetData>
    <row r="1" spans="1:32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</row>
    <row r="2" spans="1:32">
      <c r="A2" s="96"/>
      <c r="B2" s="96"/>
      <c r="C2" s="96"/>
      <c r="D2" s="118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</row>
    <row r="3" spans="1:32">
      <c r="A3" s="96"/>
      <c r="B3" s="96"/>
      <c r="C3" s="118"/>
      <c r="D3" s="118"/>
      <c r="E3" s="96"/>
      <c r="F3" s="96"/>
      <c r="G3" s="96"/>
      <c r="H3" s="108"/>
      <c r="I3" s="108"/>
      <c r="J3" s="108"/>
      <c r="K3" s="108"/>
      <c r="L3" s="96"/>
      <c r="M3" s="108"/>
      <c r="N3" s="108"/>
      <c r="O3" s="108"/>
      <c r="P3" s="108"/>
      <c r="Q3" s="96"/>
      <c r="R3" s="108"/>
      <c r="S3" s="140"/>
      <c r="T3" s="108"/>
      <c r="U3" s="108"/>
      <c r="V3" s="96"/>
      <c r="W3" s="108"/>
      <c r="X3" s="108"/>
      <c r="Y3" s="108"/>
      <c r="Z3" s="108"/>
      <c r="AA3" s="96"/>
      <c r="AB3" s="108"/>
      <c r="AC3" s="108"/>
      <c r="AD3" s="108"/>
      <c r="AE3" s="108"/>
      <c r="AF3" s="96"/>
    </row>
    <row r="4" spans="1:32">
      <c r="A4" s="96"/>
      <c r="B4" s="96"/>
      <c r="C4" s="118"/>
      <c r="D4" s="118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140"/>
      <c r="T4" s="141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</row>
    <row r="5" spans="1:32">
      <c r="A5" s="99"/>
      <c r="B5" s="72" t="s">
        <v>169</v>
      </c>
      <c r="C5" s="73">
        <v>2013</v>
      </c>
      <c r="D5" s="73">
        <v>2014</v>
      </c>
      <c r="E5" s="73">
        <v>2015</v>
      </c>
      <c r="F5" s="73">
        <v>2016</v>
      </c>
      <c r="G5" s="73">
        <v>2017</v>
      </c>
      <c r="H5" s="135" t="s">
        <v>170</v>
      </c>
      <c r="I5" s="135" t="s">
        <v>171</v>
      </c>
      <c r="J5" s="135" t="s">
        <v>172</v>
      </c>
      <c r="K5" s="135" t="s">
        <v>173</v>
      </c>
      <c r="L5" s="73">
        <v>2018</v>
      </c>
      <c r="M5" s="135" t="s">
        <v>174</v>
      </c>
      <c r="N5" s="135" t="s">
        <v>175</v>
      </c>
      <c r="O5" s="135" t="s">
        <v>176</v>
      </c>
      <c r="P5" s="135" t="s">
        <v>177</v>
      </c>
      <c r="Q5" s="73">
        <v>2019</v>
      </c>
      <c r="R5" s="135" t="s">
        <v>178</v>
      </c>
      <c r="S5" s="135" t="s">
        <v>179</v>
      </c>
      <c r="T5" s="135" t="s">
        <v>180</v>
      </c>
      <c r="U5" s="135" t="s">
        <v>181</v>
      </c>
      <c r="V5" s="73">
        <v>2020</v>
      </c>
      <c r="W5" s="135" t="s">
        <v>182</v>
      </c>
      <c r="X5" s="135" t="s">
        <v>183</v>
      </c>
      <c r="Y5" s="135" t="s">
        <v>184</v>
      </c>
      <c r="Z5" s="135" t="s">
        <v>318</v>
      </c>
      <c r="AA5" s="73">
        <v>2021</v>
      </c>
      <c r="AB5" s="135" t="s">
        <v>323</v>
      </c>
      <c r="AC5" s="135" t="s">
        <v>324</v>
      </c>
      <c r="AD5" s="135" t="s">
        <v>325</v>
      </c>
      <c r="AE5" s="135" t="s">
        <v>326</v>
      </c>
      <c r="AF5" s="73">
        <v>2022</v>
      </c>
    </row>
    <row r="6" spans="1:32">
      <c r="A6" s="142" t="s">
        <v>185</v>
      </c>
      <c r="B6" s="144"/>
      <c r="C6" s="144"/>
      <c r="D6" s="144"/>
      <c r="E6" s="144"/>
      <c r="F6" s="144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</row>
    <row r="7" spans="1:32">
      <c r="A7" s="96" t="s">
        <v>32</v>
      </c>
      <c r="B7" s="105" t="s">
        <v>186</v>
      </c>
      <c r="C7" s="109">
        <f t="shared" ref="C7:V7" si="0">C20+C21+C22+C24+C27+C28+C32</f>
        <v>1055829.2863924825</v>
      </c>
      <c r="D7" s="109">
        <f t="shared" si="0"/>
        <v>957930.21508588281</v>
      </c>
      <c r="E7" s="109">
        <f t="shared" si="0"/>
        <v>559454.26818206219</v>
      </c>
      <c r="F7" s="109">
        <f t="shared" si="0"/>
        <v>178367.56541839859</v>
      </c>
      <c r="G7" s="109">
        <f t="shared" si="0"/>
        <v>-810248.54587141308</v>
      </c>
      <c r="H7" s="109">
        <f t="shared" si="0"/>
        <v>-6278.6860660001839</v>
      </c>
      <c r="I7" s="109">
        <f t="shared" si="0"/>
        <v>-25197.797874692315</v>
      </c>
      <c r="J7" s="109">
        <f t="shared" si="0"/>
        <v>68910.608494292974</v>
      </c>
      <c r="K7" s="109">
        <f t="shared" si="0"/>
        <v>-119790.26369411849</v>
      </c>
      <c r="L7" s="109">
        <f t="shared" si="0"/>
        <v>-82356.139140518106</v>
      </c>
      <c r="M7" s="109">
        <f t="shared" si="0"/>
        <v>4779.965314800007</v>
      </c>
      <c r="N7" s="109">
        <f t="shared" si="0"/>
        <v>12114.326776166039</v>
      </c>
      <c r="O7" s="109">
        <f t="shared" si="0"/>
        <v>111867.45082153472</v>
      </c>
      <c r="P7" s="109">
        <f t="shared" si="0"/>
        <v>15409.801274863959</v>
      </c>
      <c r="Q7" s="109">
        <f t="shared" si="0"/>
        <v>144171.54418736501</v>
      </c>
      <c r="R7" s="109">
        <f t="shared" si="0"/>
        <v>51300.970000200214</v>
      </c>
      <c r="S7" s="109">
        <f t="shared" si="0"/>
        <v>127292.1695343001</v>
      </c>
      <c r="T7" s="109">
        <f t="shared" si="0"/>
        <v>265454.61869249982</v>
      </c>
      <c r="U7" s="109">
        <f t="shared" si="0"/>
        <v>121955.68651603849</v>
      </c>
      <c r="V7" s="109">
        <f t="shared" si="0"/>
        <v>566003.44474303874</v>
      </c>
      <c r="W7" s="109">
        <f>W20+W21+W22+W24+W27+W28+W32</f>
        <v>248315.53877809778</v>
      </c>
      <c r="X7" s="109">
        <f t="shared" ref="X7:Z7" si="1">X20+X21+X22+X24+X27+X28+X32</f>
        <v>314643.85952064465</v>
      </c>
      <c r="Y7" s="109">
        <f t="shared" si="1"/>
        <v>221058.28626416301</v>
      </c>
      <c r="Z7" s="109">
        <f t="shared" si="1"/>
        <v>232129.45635699993</v>
      </c>
      <c r="AA7" s="109">
        <f>SUM(W7:Z7)</f>
        <v>1016147.1409199054</v>
      </c>
      <c r="AB7" s="109">
        <f>AB20+AB21+AB22+AB24+AB27+AB28+AB32</f>
        <v>135127</v>
      </c>
      <c r="AC7" s="109">
        <f t="shared" ref="AC7:AE7" si="2">AC20+AC21+AC22+AC24+AC27+AC28+AC32</f>
        <v>0</v>
      </c>
      <c r="AD7" s="109">
        <f t="shared" si="2"/>
        <v>0</v>
      </c>
      <c r="AE7" s="109">
        <f t="shared" si="2"/>
        <v>0</v>
      </c>
      <c r="AF7" s="109">
        <f>SUM(AB7:AE7)</f>
        <v>135127</v>
      </c>
    </row>
    <row r="8" spans="1:32">
      <c r="A8" s="107" t="s">
        <v>187</v>
      </c>
      <c r="B8" s="96" t="s">
        <v>5</v>
      </c>
      <c r="C8" s="110">
        <f t="shared" ref="C8:AE8" si="3">IFERROR(C7/C20,0)</f>
        <v>0.3098061249584031</v>
      </c>
      <c r="D8" s="110">
        <f t="shared" si="3"/>
        <v>0.26267193545133444</v>
      </c>
      <c r="E8" s="110">
        <f t="shared" si="3"/>
        <v>0.18733874162432071</v>
      </c>
      <c r="F8" s="110">
        <f t="shared" si="3"/>
        <v>8.8778201864885775E-2</v>
      </c>
      <c r="G8" s="110">
        <f t="shared" si="3"/>
        <v>-0.49185909998211236</v>
      </c>
      <c r="H8" s="110">
        <f t="shared" si="3"/>
        <v>-1.574028004982661E-2</v>
      </c>
      <c r="I8" s="110">
        <f t="shared" si="3"/>
        <v>-5.7195003484644652E-2</v>
      </c>
      <c r="J8" s="110">
        <f t="shared" si="3"/>
        <v>0.13533916438895877</v>
      </c>
      <c r="K8" s="110">
        <f t="shared" si="3"/>
        <v>-0.26157375081733236</v>
      </c>
      <c r="L8" s="110">
        <f t="shared" si="3"/>
        <v>-4.5586718073506727E-2</v>
      </c>
      <c r="M8" s="110">
        <f t="shared" si="3"/>
        <v>1.1296398570967226E-2</v>
      </c>
      <c r="N8" s="110">
        <f t="shared" si="3"/>
        <v>2.7060018590496168E-2</v>
      </c>
      <c r="O8" s="110">
        <f t="shared" si="3"/>
        <v>0.21462524168943545</v>
      </c>
      <c r="P8" s="110">
        <f t="shared" si="3"/>
        <v>3.0724321720743263E-2</v>
      </c>
      <c r="Q8" s="110">
        <f t="shared" si="3"/>
        <v>7.6136336658770273E-2</v>
      </c>
      <c r="R8" s="110">
        <f t="shared" si="3"/>
        <v>0.11333976788450086</v>
      </c>
      <c r="S8" s="110">
        <f t="shared" si="3"/>
        <v>0.24384484186313482</v>
      </c>
      <c r="T8" s="110">
        <f t="shared" si="3"/>
        <v>0.37247659857024512</v>
      </c>
      <c r="U8" s="110">
        <f t="shared" si="3"/>
        <v>0.17050014751669759</v>
      </c>
      <c r="V8" s="110">
        <f t="shared" si="3"/>
        <v>0.23557880149264968</v>
      </c>
      <c r="W8" s="110">
        <f t="shared" si="3"/>
        <v>0.35777965549559793</v>
      </c>
      <c r="X8" s="110">
        <f t="shared" si="3"/>
        <v>0.39623947299769496</v>
      </c>
      <c r="Y8" s="110">
        <f t="shared" si="3"/>
        <v>0.25387184595354462</v>
      </c>
      <c r="Z8" s="110">
        <f t="shared" si="3"/>
        <v>0.29242502331394188</v>
      </c>
      <c r="AA8" s="110">
        <f t="shared" si="3"/>
        <v>0.32231247949596664</v>
      </c>
      <c r="AB8" s="110">
        <f t="shared" si="3"/>
        <v>0.17229125812514184</v>
      </c>
      <c r="AC8" s="110">
        <f t="shared" si="3"/>
        <v>0</v>
      </c>
      <c r="AD8" s="110">
        <f t="shared" si="3"/>
        <v>0</v>
      </c>
      <c r="AE8" s="110">
        <f t="shared" si="3"/>
        <v>0</v>
      </c>
      <c r="AF8" s="110">
        <f t="shared" ref="AF8" si="4">IFERROR(AF7/AF20,0)</f>
        <v>0.17229125812514184</v>
      </c>
    </row>
    <row r="9" spans="1:32" s="112" customFormat="1">
      <c r="A9" s="105" t="s">
        <v>188</v>
      </c>
      <c r="B9" s="105" t="s">
        <v>186</v>
      </c>
      <c r="C9" s="123">
        <v>10139.09052</v>
      </c>
      <c r="D9" s="123">
        <v>1864</v>
      </c>
      <c r="E9" s="123">
        <v>9885.1736500000006</v>
      </c>
      <c r="F9" s="123">
        <v>76657.178895000005</v>
      </c>
      <c r="G9" s="123">
        <v>865993.96561088297</v>
      </c>
      <c r="H9" s="123">
        <v>14973.409919999935</v>
      </c>
      <c r="I9" s="123">
        <v>6574.5683700001709</v>
      </c>
      <c r="J9" s="123">
        <v>-1968.5290000000323</v>
      </c>
      <c r="K9" s="123">
        <v>114070.59647999986</v>
      </c>
      <c r="L9" s="123">
        <f>SUM(H9:K9)</f>
        <v>133650.04576999994</v>
      </c>
      <c r="M9" s="123">
        <v>-9038.6217199999155</v>
      </c>
      <c r="N9" s="123">
        <v>-10760.209479999963</v>
      </c>
      <c r="O9" s="123">
        <v>8527.1882769899312</v>
      </c>
      <c r="P9" s="123">
        <v>129995.62488704802</v>
      </c>
      <c r="Q9" s="123">
        <f>SUM(M9:P9)</f>
        <v>118723.98196403807</v>
      </c>
      <c r="R9" s="123">
        <f>R10-R7</f>
        <v>-8830.1945951111848</v>
      </c>
      <c r="S9" s="123">
        <f t="shared" ref="S9:U9" si="5">S10-S7</f>
        <v>-3761.9928377797914</v>
      </c>
      <c r="T9" s="123">
        <f t="shared" si="5"/>
        <v>-4980.7876970922225</v>
      </c>
      <c r="U9" s="123">
        <f t="shared" si="5"/>
        <v>137850.44756580846</v>
      </c>
      <c r="V9" s="123">
        <f>SUM(R9:U9)</f>
        <v>120277.47243582526</v>
      </c>
      <c r="W9" s="123">
        <f t="shared" ref="W9" si="6">W10-W7</f>
        <v>-5157.3698782431893</v>
      </c>
      <c r="X9" s="123">
        <f t="shared" ref="X9" si="7">X10-X7</f>
        <v>-60769.258941280335</v>
      </c>
      <c r="Y9" s="123">
        <f t="shared" ref="Y9:AE9" si="8">Y10-Y7</f>
        <v>17622.713735836995</v>
      </c>
      <c r="Z9" s="123">
        <f t="shared" si="8"/>
        <v>-39530.23583621881</v>
      </c>
      <c r="AA9" s="123">
        <f t="shared" si="8"/>
        <v>-87834.150919905398</v>
      </c>
      <c r="AB9" s="123">
        <f t="shared" si="8"/>
        <v>1579.1878199999919</v>
      </c>
      <c r="AC9" s="123">
        <f t="shared" si="8"/>
        <v>0</v>
      </c>
      <c r="AD9" s="123">
        <f t="shared" si="8"/>
        <v>0</v>
      </c>
      <c r="AE9" s="123">
        <f t="shared" si="8"/>
        <v>0</v>
      </c>
      <c r="AF9" s="123">
        <f t="shared" ref="AF9" si="9">AF10-AF7</f>
        <v>1579.1878199999919</v>
      </c>
    </row>
    <row r="10" spans="1:32" s="112" customFormat="1">
      <c r="A10" s="104" t="s">
        <v>189</v>
      </c>
      <c r="B10" s="106" t="s">
        <v>186</v>
      </c>
      <c r="C10" s="113">
        <f t="shared" ref="C10:F10" si="10">C7+C9</f>
        <v>1065968.3769124825</v>
      </c>
      <c r="D10" s="113">
        <f t="shared" si="10"/>
        <v>959794.21508588281</v>
      </c>
      <c r="E10" s="113">
        <f t="shared" si="10"/>
        <v>569339.44183206221</v>
      </c>
      <c r="F10" s="113">
        <f t="shared" si="10"/>
        <v>255024.74431339861</v>
      </c>
      <c r="G10" s="113">
        <f t="shared" ref="G10:V10" si="11">G7+G9</f>
        <v>55745.419739469886</v>
      </c>
      <c r="H10" s="113">
        <f t="shared" ref="H10:K10" si="12">H7+H9</f>
        <v>8694.7238539997506</v>
      </c>
      <c r="I10" s="113">
        <f t="shared" si="12"/>
        <v>-18623.229504692143</v>
      </c>
      <c r="J10" s="113">
        <f t="shared" si="12"/>
        <v>66942.079494292935</v>
      </c>
      <c r="K10" s="113">
        <f t="shared" si="12"/>
        <v>-5719.6672141186282</v>
      </c>
      <c r="L10" s="113">
        <f t="shared" si="11"/>
        <v>51293.906629481833</v>
      </c>
      <c r="M10" s="113">
        <f t="shared" si="11"/>
        <v>-4258.6564051999085</v>
      </c>
      <c r="N10" s="113">
        <f t="shared" si="11"/>
        <v>1354.1172961660759</v>
      </c>
      <c r="O10" s="113">
        <f t="shared" si="11"/>
        <v>120394.63909852464</v>
      </c>
      <c r="P10" s="113">
        <f t="shared" si="11"/>
        <v>145405.42616191198</v>
      </c>
      <c r="Q10" s="113">
        <f t="shared" si="11"/>
        <v>262895.52615140309</v>
      </c>
      <c r="R10" s="113">
        <v>42470.775405089029</v>
      </c>
      <c r="S10" s="113">
        <v>123530.17669652031</v>
      </c>
      <c r="T10" s="113">
        <v>260473.8309954076</v>
      </c>
      <c r="U10" s="113">
        <v>259806.13408184695</v>
      </c>
      <c r="V10" s="113">
        <f t="shared" si="11"/>
        <v>686280.91717886401</v>
      </c>
      <c r="W10" s="113">
        <v>243158.16889985459</v>
      </c>
      <c r="X10" s="113">
        <v>253874.60057936431</v>
      </c>
      <c r="Y10" s="113">
        <v>238681</v>
      </c>
      <c r="Z10" s="113">
        <f>928312.99-SUM(W10:Y10)</f>
        <v>192599.22052078112</v>
      </c>
      <c r="AA10" s="113">
        <f>SUM(W10:Z10)</f>
        <v>928312.99</v>
      </c>
      <c r="AB10" s="113">
        <v>136706.18781999999</v>
      </c>
      <c r="AC10" s="113"/>
      <c r="AD10" s="113"/>
      <c r="AE10" s="113"/>
      <c r="AF10" s="113">
        <f>SUM(AB10:AE10)</f>
        <v>136706.18781999999</v>
      </c>
    </row>
    <row r="11" spans="1:32" s="112" customFormat="1">
      <c r="A11" s="114" t="s">
        <v>190</v>
      </c>
      <c r="B11" s="104" t="s">
        <v>5</v>
      </c>
      <c r="C11" s="115">
        <f t="shared" ref="C11:AE11" si="13">IFERROR(C10/C20,0)</f>
        <v>0.3127811819918524</v>
      </c>
      <c r="D11" s="115">
        <f t="shared" si="13"/>
        <v>0.26318305878784742</v>
      </c>
      <c r="E11" s="115">
        <f t="shared" si="13"/>
        <v>0.19064888884751829</v>
      </c>
      <c r="F11" s="115">
        <f t="shared" si="13"/>
        <v>0.12693248449115405</v>
      </c>
      <c r="G11" s="115">
        <f t="shared" si="13"/>
        <v>3.3840100202453351E-2</v>
      </c>
      <c r="H11" s="115">
        <f t="shared" si="13"/>
        <v>2.1797138283272753E-2</v>
      </c>
      <c r="I11" s="115">
        <f t="shared" si="13"/>
        <v>-4.2271776355742779E-2</v>
      </c>
      <c r="J11" s="115">
        <f t="shared" si="13"/>
        <v>0.13147300973212531</v>
      </c>
      <c r="K11" s="115">
        <f t="shared" si="13"/>
        <v>-1.2489452485422556E-2</v>
      </c>
      <c r="L11" s="115">
        <f t="shared" si="13"/>
        <v>2.8392793601182111E-2</v>
      </c>
      <c r="M11" s="115">
        <f t="shared" si="13"/>
        <v>-1.0064399417499429E-2</v>
      </c>
      <c r="N11" s="115">
        <f t="shared" si="13"/>
        <v>3.0247193991875358E-3</v>
      </c>
      <c r="O11" s="115">
        <f t="shared" si="13"/>
        <v>0.23098522693483065</v>
      </c>
      <c r="P11" s="115">
        <f t="shared" si="13"/>
        <v>0.28991179144065909</v>
      </c>
      <c r="Q11" s="115">
        <f t="shared" si="13"/>
        <v>0.13883393146663636</v>
      </c>
      <c r="R11" s="115">
        <f t="shared" si="13"/>
        <v>9.3831126902059983E-2</v>
      </c>
      <c r="S11" s="115">
        <f t="shared" si="13"/>
        <v>0.23663825129299396</v>
      </c>
      <c r="T11" s="115">
        <f t="shared" si="13"/>
        <v>0.36548773219168529</v>
      </c>
      <c r="U11" s="115">
        <f t="shared" si="13"/>
        <v>0.36322196571680393</v>
      </c>
      <c r="V11" s="115">
        <f t="shared" si="13"/>
        <v>0.28564002120105747</v>
      </c>
      <c r="W11" s="115">
        <f t="shared" si="13"/>
        <v>0.35034877933141978</v>
      </c>
      <c r="X11" s="115">
        <f t="shared" si="13"/>
        <v>0.31971111114109413</v>
      </c>
      <c r="Y11" s="115">
        <f t="shared" si="13"/>
        <v>0.27411044882356567</v>
      </c>
      <c r="Z11" s="115">
        <f t="shared" si="13"/>
        <v>0.24262681882310833</v>
      </c>
      <c r="AA11" s="115">
        <f t="shared" si="13"/>
        <v>0.29445229879242313</v>
      </c>
      <c r="AB11" s="115">
        <f t="shared" si="13"/>
        <v>0.17430477323554686</v>
      </c>
      <c r="AC11" s="115">
        <f t="shared" si="13"/>
        <v>0</v>
      </c>
      <c r="AD11" s="115">
        <f t="shared" si="13"/>
        <v>0</v>
      </c>
      <c r="AE11" s="115">
        <f t="shared" si="13"/>
        <v>0</v>
      </c>
      <c r="AF11" s="115">
        <f t="shared" ref="AF11" si="14">IFERROR(AF10/AF20,0)</f>
        <v>0.17430477323554686</v>
      </c>
    </row>
    <row r="12" spans="1:32" s="112" customFormat="1">
      <c r="A12" s="117" t="s">
        <v>191</v>
      </c>
      <c r="B12" s="150" t="s">
        <v>186</v>
      </c>
      <c r="C12" s="151">
        <v>0</v>
      </c>
      <c r="D12" s="151">
        <v>0</v>
      </c>
      <c r="E12" s="151">
        <v>0</v>
      </c>
      <c r="F12" s="151">
        <v>0</v>
      </c>
      <c r="G12" s="151">
        <v>0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2">
        <f>Q10-92816</f>
        <v>170079.52615140309</v>
      </c>
      <c r="R12" s="152">
        <f>R10-26149</f>
        <v>16321.775405089029</v>
      </c>
      <c r="S12" s="152">
        <f>S10-(53141-26149)</f>
        <v>96538.176696520313</v>
      </c>
      <c r="T12" s="152">
        <f>T10-(80700-53141)</f>
        <v>232914.8309954076</v>
      </c>
      <c r="U12" s="153">
        <f>V12-SUM(R12:T12)</f>
        <v>232143.13408184703</v>
      </c>
      <c r="V12" s="152">
        <f>V10-108363</f>
        <v>577917.91717886401</v>
      </c>
      <c r="W12" s="152">
        <f>W10-28836</f>
        <v>214322.16889985459</v>
      </c>
      <c r="X12" s="152">
        <f>X10-(57407-28836)</f>
        <v>225303.60057936431</v>
      </c>
      <c r="Y12" s="152">
        <f>Y10-(86004-57407)</f>
        <v>210084</v>
      </c>
      <c r="Z12" s="152">
        <f>Z10-(113394-86004)</f>
        <v>165209.22052078112</v>
      </c>
      <c r="AA12" s="152">
        <f>AA10-(113394)</f>
        <v>814918.99</v>
      </c>
      <c r="AB12" s="157">
        <f>AB10-(26771)</f>
        <v>109935.18781999999</v>
      </c>
      <c r="AC12" s="157"/>
      <c r="AD12" s="157"/>
      <c r="AE12" s="157"/>
      <c r="AF12" s="152">
        <f>AF10-(113394)</f>
        <v>23312.187819999992</v>
      </c>
    </row>
    <row r="13" spans="1:32" s="112" customFormat="1">
      <c r="A13" s="117" t="s">
        <v>192</v>
      </c>
      <c r="B13" s="107" t="s">
        <v>5</v>
      </c>
      <c r="C13" s="154">
        <f t="shared" ref="C13:AE13" si="15">IFERROR(C12/C20,0)</f>
        <v>0</v>
      </c>
      <c r="D13" s="154">
        <f t="shared" si="15"/>
        <v>0</v>
      </c>
      <c r="E13" s="154">
        <f t="shared" si="15"/>
        <v>0</v>
      </c>
      <c r="F13" s="154">
        <f t="shared" si="15"/>
        <v>0</v>
      </c>
      <c r="G13" s="154">
        <f t="shared" si="15"/>
        <v>0</v>
      </c>
      <c r="H13" s="154">
        <f t="shared" si="15"/>
        <v>0</v>
      </c>
      <c r="I13" s="154">
        <f t="shared" si="15"/>
        <v>0</v>
      </c>
      <c r="J13" s="154">
        <f t="shared" si="15"/>
        <v>0</v>
      </c>
      <c r="K13" s="154">
        <f t="shared" si="15"/>
        <v>0</v>
      </c>
      <c r="L13" s="154">
        <f t="shared" si="15"/>
        <v>0</v>
      </c>
      <c r="M13" s="154">
        <f t="shared" si="15"/>
        <v>0</v>
      </c>
      <c r="N13" s="154">
        <f t="shared" si="15"/>
        <v>0</v>
      </c>
      <c r="O13" s="154">
        <f t="shared" si="15"/>
        <v>0</v>
      </c>
      <c r="P13" s="154">
        <f t="shared" si="15"/>
        <v>0</v>
      </c>
      <c r="Q13" s="154">
        <f t="shared" si="15"/>
        <v>8.9818224080325831E-2</v>
      </c>
      <c r="R13" s="154">
        <f t="shared" si="15"/>
        <v>3.6059868573021639E-2</v>
      </c>
      <c r="S13" s="154">
        <f t="shared" si="15"/>
        <v>0.1849315359808931</v>
      </c>
      <c r="T13" s="154">
        <f t="shared" si="15"/>
        <v>0.32681791122357334</v>
      </c>
      <c r="U13" s="154">
        <f t="shared" si="15"/>
        <v>0.3245477085706715</v>
      </c>
      <c r="V13" s="154">
        <f t="shared" si="15"/>
        <v>0.24053777685387417</v>
      </c>
      <c r="W13" s="154">
        <f t="shared" si="15"/>
        <v>0.30880110093546331</v>
      </c>
      <c r="X13" s="154">
        <f t="shared" si="15"/>
        <v>0.28373088257326362</v>
      </c>
      <c r="Y13" s="154">
        <f t="shared" si="15"/>
        <v>0.24126855313430884</v>
      </c>
      <c r="Z13" s="154">
        <f t="shared" si="15"/>
        <v>0.20812227332393329</v>
      </c>
      <c r="AA13" s="154">
        <f t="shared" si="15"/>
        <v>0.25848477024446215</v>
      </c>
      <c r="AB13" s="110">
        <f t="shared" si="15"/>
        <v>0.14017088976837766</v>
      </c>
      <c r="AC13" s="110">
        <f t="shared" si="15"/>
        <v>0</v>
      </c>
      <c r="AD13" s="110">
        <f t="shared" si="15"/>
        <v>0</v>
      </c>
      <c r="AE13" s="110">
        <f t="shared" si="15"/>
        <v>0</v>
      </c>
      <c r="AF13" s="154">
        <f t="shared" ref="AF13" si="16">IFERROR(AF12/AF20,0)</f>
        <v>2.9723787023743637E-2</v>
      </c>
    </row>
    <row r="14" spans="1:32">
      <c r="A14" s="96"/>
      <c r="B14" s="96"/>
      <c r="C14" s="96"/>
      <c r="D14" s="96"/>
      <c r="E14" s="96"/>
      <c r="F14" s="96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</row>
    <row r="15" spans="1:32">
      <c r="A15" s="142" t="s">
        <v>193</v>
      </c>
      <c r="B15" s="143"/>
      <c r="C15" s="144"/>
      <c r="D15" s="144"/>
      <c r="E15" s="144"/>
      <c r="F15" s="144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</row>
    <row r="16" spans="1:32" s="97" customFormat="1">
      <c r="A16" s="116" t="s">
        <v>194</v>
      </c>
      <c r="B16" s="96" t="s">
        <v>186</v>
      </c>
      <c r="C16" s="111">
        <v>3721502.4885900002</v>
      </c>
      <c r="D16" s="111">
        <v>4167061.5140200006</v>
      </c>
      <c r="E16" s="111">
        <v>3457014.1952199996</v>
      </c>
      <c r="F16" s="111">
        <v>2630397.60415</v>
      </c>
      <c r="G16" s="111">
        <v>2191684.57859</v>
      </c>
      <c r="H16" s="111">
        <v>525406.39789000002</v>
      </c>
      <c r="I16" s="111">
        <v>577416.89542999992</v>
      </c>
      <c r="J16" s="111">
        <v>662076.25154000032</v>
      </c>
      <c r="K16" s="111">
        <v>601191.46115999948</v>
      </c>
      <c r="L16" s="111">
        <f>SUM(H16:K16)</f>
        <v>2366091.0060199997</v>
      </c>
      <c r="M16" s="111">
        <v>556798.84057999996</v>
      </c>
      <c r="N16" s="111">
        <v>583148.22106000024</v>
      </c>
      <c r="O16" s="111">
        <v>665083.44982999982</v>
      </c>
      <c r="P16" s="111">
        <v>638153.48399999994</v>
      </c>
      <c r="Q16" s="111">
        <f>SUM(M16:P16)</f>
        <v>2443183.99547</v>
      </c>
      <c r="R16" s="111">
        <v>580057.08154000004</v>
      </c>
      <c r="S16" s="111">
        <v>673151.68151000014</v>
      </c>
      <c r="T16" s="111">
        <v>908443.39020999987</v>
      </c>
      <c r="U16" s="111">
        <v>907988</v>
      </c>
      <c r="V16" s="111">
        <f>SUM(R16:U16)</f>
        <v>3069640.1532600001</v>
      </c>
      <c r="W16" s="111">
        <v>885034</v>
      </c>
      <c r="X16" s="111">
        <v>1019108</v>
      </c>
      <c r="Y16" s="123">
        <v>1105432.2687899999</v>
      </c>
      <c r="Z16" s="123">
        <f>4017543-SUM(W16:Y16)</f>
        <v>1007968.7312099999</v>
      </c>
      <c r="AA16" s="111">
        <f>SUM(W16:Z16)</f>
        <v>4017543</v>
      </c>
      <c r="AB16" s="111">
        <v>996524</v>
      </c>
      <c r="AC16" s="111"/>
      <c r="AD16" s="123"/>
      <c r="AE16" s="123"/>
      <c r="AF16" s="111">
        <f>SUM(AB16:AE16)</f>
        <v>996524</v>
      </c>
    </row>
    <row r="17" spans="1:32" s="97" customFormat="1">
      <c r="A17" s="116" t="s">
        <v>195</v>
      </c>
      <c r="B17" s="96" t="s">
        <v>186</v>
      </c>
      <c r="C17" s="111">
        <v>720084.47230999998</v>
      </c>
      <c r="D17" s="111">
        <v>644236.61199</v>
      </c>
      <c r="E17" s="111">
        <v>522917.08016999997</v>
      </c>
      <c r="F17" s="111">
        <v>168640.07472999999</v>
      </c>
      <c r="G17" s="111">
        <v>115696.69649999999</v>
      </c>
      <c r="H17" s="111">
        <v>23028.150419999998</v>
      </c>
      <c r="I17" s="111">
        <v>27000.332330000005</v>
      </c>
      <c r="J17" s="111">
        <v>30231.227069999986</v>
      </c>
      <c r="K17" s="111">
        <v>27003.170750000019</v>
      </c>
      <c r="L17" s="111">
        <f>SUM(H17:K17)</f>
        <v>107262.88057000001</v>
      </c>
      <c r="M17" s="111">
        <v>27946.048059999997</v>
      </c>
      <c r="N17" s="111">
        <v>34566.857230000009</v>
      </c>
      <c r="O17" s="111">
        <v>38378.978269999992</v>
      </c>
      <c r="P17" s="111">
        <v>35973.116439999998</v>
      </c>
      <c r="Q17" s="111">
        <f>SUM(M17:P17)</f>
        <v>136865</v>
      </c>
      <c r="R17" s="111">
        <v>33400.80863</v>
      </c>
      <c r="S17" s="111">
        <v>36460.385930000004</v>
      </c>
      <c r="T17" s="111">
        <v>39477.444220000005</v>
      </c>
      <c r="U17" s="111">
        <v>39632</v>
      </c>
      <c r="V17" s="111">
        <f>SUM(R17:U17)</f>
        <v>148970.63878000001</v>
      </c>
      <c r="W17" s="111">
        <v>38725</v>
      </c>
      <c r="X17" s="111">
        <v>40328</v>
      </c>
      <c r="Y17" s="123">
        <v>47871.540689999994</v>
      </c>
      <c r="Z17" s="123">
        <f>168313-SUM(W17:Y17)</f>
        <v>41388.459310000006</v>
      </c>
      <c r="AA17" s="111">
        <f t="shared" ref="AA17:AA40" si="17">SUM(W17:Z17)</f>
        <v>168313</v>
      </c>
      <c r="AB17" s="111">
        <v>41529</v>
      </c>
      <c r="AC17" s="111"/>
      <c r="AD17" s="123"/>
      <c r="AE17" s="123"/>
      <c r="AF17" s="111">
        <f t="shared" ref="AF17:AF40" si="18">SUM(AB17:AE17)</f>
        <v>41529</v>
      </c>
    </row>
    <row r="18" spans="1:32" s="97" customFormat="1">
      <c r="A18" s="116" t="s">
        <v>196</v>
      </c>
      <c r="B18" s="96" t="s">
        <v>186</v>
      </c>
      <c r="C18" s="111">
        <v>-1016915.8405602069</v>
      </c>
      <c r="D18" s="111">
        <v>-1130464.9257920999</v>
      </c>
      <c r="E18" s="111">
        <v>-967229.79462532606</v>
      </c>
      <c r="F18" s="111">
        <v>-768020.53780190006</v>
      </c>
      <c r="G18" s="111">
        <v>-646428.48979439994</v>
      </c>
      <c r="H18" s="111">
        <v>-145860.6526644</v>
      </c>
      <c r="I18" s="111">
        <v>-160056.52034450002</v>
      </c>
      <c r="J18" s="111">
        <v>-179549.8773409999</v>
      </c>
      <c r="K18" s="111">
        <v>-166584.94965369999</v>
      </c>
      <c r="L18" s="111">
        <f>SUM(H18:K18)</f>
        <v>-652052.00000359991</v>
      </c>
      <c r="M18" s="111">
        <v>-157395.98391010001</v>
      </c>
      <c r="N18" s="111">
        <v>-166927.10350299999</v>
      </c>
      <c r="O18" s="111">
        <v>-179200.94123280002</v>
      </c>
      <c r="P18" s="111">
        <v>-169883.97135409998</v>
      </c>
      <c r="Q18" s="111">
        <f>SUM(M18:P18)</f>
        <v>-673408</v>
      </c>
      <c r="R18" s="111">
        <v>-157465.89926919999</v>
      </c>
      <c r="S18" s="111">
        <v>-184343.67944570002</v>
      </c>
      <c r="T18" s="111">
        <v>-230287.85661690001</v>
      </c>
      <c r="U18" s="111">
        <v>-226713</v>
      </c>
      <c r="V18" s="111">
        <f>SUM(R18:U18)</f>
        <v>-798810.43533180002</v>
      </c>
      <c r="W18" s="111">
        <v>-225174</v>
      </c>
      <c r="X18" s="111">
        <v>-255914</v>
      </c>
      <c r="Y18" s="123">
        <v>-272793.65566699993</v>
      </c>
      <c r="Z18" s="123">
        <f>-999366-SUM(W18:Y18)</f>
        <v>-245484.34433300002</v>
      </c>
      <c r="AA18" s="111">
        <f t="shared" si="17"/>
        <v>-999366</v>
      </c>
      <c r="AB18" s="111">
        <v>-243220</v>
      </c>
      <c r="AC18" s="111"/>
      <c r="AD18" s="123"/>
      <c r="AE18" s="123"/>
      <c r="AF18" s="111">
        <f t="shared" si="18"/>
        <v>-243220</v>
      </c>
    </row>
    <row r="19" spans="1:32" s="97" customFormat="1">
      <c r="A19" s="116" t="s">
        <v>197</v>
      </c>
      <c r="B19" s="96" t="s">
        <v>186</v>
      </c>
      <c r="C19" s="111">
        <v>-16638.801629999998</v>
      </c>
      <c r="D19" s="111">
        <v>-33963.908909999998</v>
      </c>
      <c r="E19" s="111">
        <v>-26377.011350000001</v>
      </c>
      <c r="F19" s="111">
        <v>-21880.194490000002</v>
      </c>
      <c r="G19" s="111">
        <v>-13634.384759999994</v>
      </c>
      <c r="H19" s="111">
        <v>-3680.9886499999998</v>
      </c>
      <c r="I19" s="111">
        <v>-3801.2819500000001</v>
      </c>
      <c r="J19" s="111">
        <v>-3587.8512900000005</v>
      </c>
      <c r="K19" s="111">
        <v>-3649.8781099999997</v>
      </c>
      <c r="L19" s="111">
        <f>SUM(H19:K19)</f>
        <v>-14720</v>
      </c>
      <c r="M19" s="111">
        <v>-4208.2652799999996</v>
      </c>
      <c r="N19" s="111">
        <v>-3104.3660100000006</v>
      </c>
      <c r="O19" s="111">
        <v>-3039.2394699999995</v>
      </c>
      <c r="P19" s="111">
        <v>-2692.0524800000003</v>
      </c>
      <c r="Q19" s="111">
        <f>SUM(M19:P19)</f>
        <v>-13043.92324</v>
      </c>
      <c r="R19" s="111">
        <v>-3362.0715200000004</v>
      </c>
      <c r="S19" s="111">
        <v>-3247.2184599999991</v>
      </c>
      <c r="T19" s="111">
        <v>-4958.3568800000012</v>
      </c>
      <c r="U19" s="111">
        <v>-5625</v>
      </c>
      <c r="V19" s="111">
        <f>SUM(R19:U19)</f>
        <v>-17192.646860000001</v>
      </c>
      <c r="W19" s="111">
        <v>-4539</v>
      </c>
      <c r="X19" s="111">
        <v>-9447</v>
      </c>
      <c r="Y19" s="123">
        <v>-9762.6101699999999</v>
      </c>
      <c r="Z19" s="123">
        <f>-33813-SUM(W19:Y19)</f>
        <v>-10064.38983</v>
      </c>
      <c r="AA19" s="111">
        <f t="shared" si="17"/>
        <v>-33813</v>
      </c>
      <c r="AB19" s="111">
        <v>-10539</v>
      </c>
      <c r="AC19" s="111"/>
      <c r="AD19" s="123"/>
      <c r="AE19" s="123"/>
      <c r="AF19" s="111">
        <f t="shared" si="18"/>
        <v>-10539</v>
      </c>
    </row>
    <row r="20" spans="1:32">
      <c r="A20" s="104" t="s">
        <v>198</v>
      </c>
      <c r="B20" s="104" t="s">
        <v>186</v>
      </c>
      <c r="C20" s="119">
        <f t="shared" ref="C20:F20" si="19">SUM(C16:C19)</f>
        <v>3408032.318709793</v>
      </c>
      <c r="D20" s="119">
        <f t="shared" si="19"/>
        <v>3646869.291307901</v>
      </c>
      <c r="E20" s="119">
        <f t="shared" si="19"/>
        <v>2986324.4694146737</v>
      </c>
      <c r="F20" s="119">
        <f t="shared" si="19"/>
        <v>2009136.9465881002</v>
      </c>
      <c r="G20" s="119">
        <f t="shared" ref="G20:V20" si="20">SUM(G16:G19)</f>
        <v>1647318.4005356</v>
      </c>
      <c r="H20" s="119">
        <f t="shared" ref="H20:K20" si="21">SUM(H16:H19)</f>
        <v>398892.90699559997</v>
      </c>
      <c r="I20" s="119">
        <f t="shared" si="21"/>
        <v>440559.42546549992</v>
      </c>
      <c r="J20" s="119">
        <f t="shared" si="21"/>
        <v>509169.74997900042</v>
      </c>
      <c r="K20" s="119">
        <f t="shared" si="21"/>
        <v>457959.80414629955</v>
      </c>
      <c r="L20" s="119">
        <f t="shared" si="20"/>
        <v>1806581.8865863997</v>
      </c>
      <c r="M20" s="119">
        <f t="shared" si="20"/>
        <v>423140.6394498999</v>
      </c>
      <c r="N20" s="119">
        <f t="shared" si="20"/>
        <v>447683.60877700022</v>
      </c>
      <c r="O20" s="119">
        <f t="shared" si="20"/>
        <v>521222.2473971998</v>
      </c>
      <c r="P20" s="119">
        <f t="shared" si="20"/>
        <v>501550.57660589996</v>
      </c>
      <c r="Q20" s="119">
        <f t="shared" si="20"/>
        <v>1893597.07223</v>
      </c>
      <c r="R20" s="119">
        <f t="shared" ref="R20:U20" si="22">SUM(R16:R19)</f>
        <v>452629.91938080004</v>
      </c>
      <c r="S20" s="119">
        <f t="shared" si="22"/>
        <v>522021.1695343001</v>
      </c>
      <c r="T20" s="119">
        <f t="shared" si="22"/>
        <v>712674.62093309977</v>
      </c>
      <c r="U20" s="119">
        <f t="shared" si="22"/>
        <v>715282</v>
      </c>
      <c r="V20" s="119">
        <f t="shared" si="20"/>
        <v>2402607.7098482</v>
      </c>
      <c r="W20" s="119">
        <f t="shared" ref="W20:Y20" si="23">SUM(W16:W19)</f>
        <v>694046</v>
      </c>
      <c r="X20" s="119">
        <f t="shared" si="23"/>
        <v>794075</v>
      </c>
      <c r="Y20" s="139">
        <f t="shared" si="23"/>
        <v>870747.54364299984</v>
      </c>
      <c r="Z20" s="139">
        <f t="shared" ref="Z20" si="24">SUM(Z16:Z19)</f>
        <v>793808.45635699993</v>
      </c>
      <c r="AA20" s="119">
        <f t="shared" si="17"/>
        <v>3152676.9999999995</v>
      </c>
      <c r="AB20" s="119">
        <f t="shared" ref="AB20:AE20" si="25">SUM(AB16:AB19)</f>
        <v>784294</v>
      </c>
      <c r="AC20" s="119">
        <f t="shared" si="25"/>
        <v>0</v>
      </c>
      <c r="AD20" s="139">
        <f t="shared" si="25"/>
        <v>0</v>
      </c>
      <c r="AE20" s="139">
        <f t="shared" si="25"/>
        <v>0</v>
      </c>
      <c r="AF20" s="119">
        <f t="shared" si="18"/>
        <v>784294</v>
      </c>
    </row>
    <row r="21" spans="1:32">
      <c r="A21" s="116" t="s">
        <v>199</v>
      </c>
      <c r="B21" s="96" t="s">
        <v>186</v>
      </c>
      <c r="C21" s="111">
        <v>-1198677.2606693117</v>
      </c>
      <c r="D21" s="111">
        <v>-1394773.2472151215</v>
      </c>
      <c r="E21" s="111">
        <v>-1410274.8225957293</v>
      </c>
      <c r="F21" s="111">
        <v>-877801.02343760012</v>
      </c>
      <c r="G21" s="111">
        <v>-778792.70607189997</v>
      </c>
      <c r="H21" s="111">
        <v>-204373.73255219997</v>
      </c>
      <c r="I21" s="111">
        <v>-234448.76031095206</v>
      </c>
      <c r="J21" s="111">
        <v>-285458.67193474801</v>
      </c>
      <c r="K21" s="111">
        <v>-220701.63269868353</v>
      </c>
      <c r="L21" s="111">
        <f>SUM(H21:K21)</f>
        <v>-944982.79749658355</v>
      </c>
      <c r="M21" s="111">
        <v>-216508.34323900001</v>
      </c>
      <c r="N21" s="111">
        <v>-250563.16499303392</v>
      </c>
      <c r="O21" s="111">
        <v>-272970.78236486588</v>
      </c>
      <c r="P21" s="111">
        <v>-173254.23438854312</v>
      </c>
      <c r="Q21" s="111">
        <f>SUM(M21:P21)</f>
        <v>-913296.52498544287</v>
      </c>
      <c r="R21" s="111">
        <v>-231128</v>
      </c>
      <c r="S21" s="111">
        <v>-235373</v>
      </c>
      <c r="T21" s="123">
        <v>-257664</v>
      </c>
      <c r="U21" s="111">
        <v>-287706.31348396151</v>
      </c>
      <c r="V21" s="111">
        <f>SUM(R21:U21)</f>
        <v>-1011871.3134839615</v>
      </c>
      <c r="W21" s="111">
        <v>-264577.27830980154</v>
      </c>
      <c r="X21" s="123">
        <v>-308967.78365027119</v>
      </c>
      <c r="Y21" s="123">
        <v>-360150.33225044177</v>
      </c>
      <c r="Z21" s="123">
        <v>-325220</v>
      </c>
      <c r="AA21" s="111">
        <f t="shared" si="17"/>
        <v>-1258915.3942105146</v>
      </c>
      <c r="AB21" s="111">
        <v>-350675</v>
      </c>
      <c r="AC21" s="123"/>
      <c r="AD21" s="123"/>
      <c r="AE21" s="123"/>
      <c r="AF21" s="111">
        <f t="shared" si="18"/>
        <v>-350675</v>
      </c>
    </row>
    <row r="22" spans="1:32" ht="12.75" customHeight="1">
      <c r="A22" s="116" t="s">
        <v>200</v>
      </c>
      <c r="B22" s="96" t="s">
        <v>186</v>
      </c>
      <c r="C22" s="111">
        <v>-745048.75153297721</v>
      </c>
      <c r="D22" s="111">
        <v>-806954.31815617927</v>
      </c>
      <c r="E22" s="111">
        <v>-629788.9856754709</v>
      </c>
      <c r="F22" s="111">
        <v>-590087.94371880009</v>
      </c>
      <c r="G22" s="111">
        <v>-546919.26590390003</v>
      </c>
      <c r="H22" s="111">
        <v>-108759.26072750002</v>
      </c>
      <c r="I22" s="111">
        <v>-136235.5437245316</v>
      </c>
      <c r="J22" s="111">
        <v>-114336.35336096841</v>
      </c>
      <c r="K22" s="111">
        <v>-168359.82274990005</v>
      </c>
      <c r="L22" s="111">
        <f>SUM(H22:K22)</f>
        <v>-527690.98056290008</v>
      </c>
      <c r="M22" s="111">
        <v>-119606.0514563</v>
      </c>
      <c r="N22" s="111">
        <v>-111441.01322159999</v>
      </c>
      <c r="O22" s="111">
        <v>-58848.59467190002</v>
      </c>
      <c r="P22" s="111">
        <v>-119129.84759029999</v>
      </c>
      <c r="Q22" s="111">
        <f>SUM(M22:P22)</f>
        <v>-409025.50694009999</v>
      </c>
      <c r="R22" s="111">
        <v>-84914</v>
      </c>
      <c r="S22" s="111">
        <v>-85553</v>
      </c>
      <c r="T22" s="123">
        <v>-102204</v>
      </c>
      <c r="U22" s="111">
        <v>-228560</v>
      </c>
      <c r="V22" s="111">
        <f>SUM(R22:U22)</f>
        <v>-501231</v>
      </c>
      <c r="W22" s="111">
        <v>-95288.488466600116</v>
      </c>
      <c r="X22" s="123">
        <v>-110367.9621745999</v>
      </c>
      <c r="Y22" s="123">
        <v>-124737.00028609994</v>
      </c>
      <c r="Z22" s="123">
        <v>-131453</v>
      </c>
      <c r="AA22" s="111">
        <f t="shared" si="17"/>
        <v>-461846.45092729991</v>
      </c>
      <c r="AB22" s="111">
        <v>-147928</v>
      </c>
      <c r="AC22" s="123"/>
      <c r="AD22" s="123"/>
      <c r="AE22" s="123"/>
      <c r="AF22" s="111">
        <f t="shared" si="18"/>
        <v>-147928</v>
      </c>
    </row>
    <row r="23" spans="1:32" ht="12.75" customHeight="1">
      <c r="A23" s="116" t="s">
        <v>201</v>
      </c>
      <c r="B23" s="96" t="s">
        <v>186</v>
      </c>
      <c r="C23" s="111">
        <v>-179683.02665551114</v>
      </c>
      <c r="D23" s="111">
        <v>-221718.87392100276</v>
      </c>
      <c r="E23" s="111">
        <v>-228000.28096534783</v>
      </c>
      <c r="F23" s="111">
        <v>-255164.97552010001</v>
      </c>
      <c r="G23" s="111">
        <v>-235688.97274742476</v>
      </c>
      <c r="H23" s="111">
        <v>-54035.006957699996</v>
      </c>
      <c r="I23" s="111">
        <v>-62844.627098400015</v>
      </c>
      <c r="J23" s="111">
        <v>-57907.323999799992</v>
      </c>
      <c r="K23" s="111">
        <v>-56835.470033699981</v>
      </c>
      <c r="L23" s="111">
        <f>SUM(H23:K23)</f>
        <v>-231622.4280896</v>
      </c>
      <c r="M23" s="111">
        <v>-81025.796326022901</v>
      </c>
      <c r="N23" s="111">
        <v>-62456.262685664871</v>
      </c>
      <c r="O23" s="111">
        <v>-123662.13389986662</v>
      </c>
      <c r="P23" s="111">
        <v>-65659.813306698605</v>
      </c>
      <c r="Q23" s="111">
        <f>SUM(M23:P23)</f>
        <v>-332804.00621825294</v>
      </c>
      <c r="R23" s="111">
        <v>-86335</v>
      </c>
      <c r="S23" s="111">
        <v>-90537</v>
      </c>
      <c r="T23" s="123">
        <v>-99058</v>
      </c>
      <c r="U23" s="111">
        <v>-91843</v>
      </c>
      <c r="V23" s="111">
        <f>SUM(R23:U23)</f>
        <v>-367773</v>
      </c>
      <c r="W23" s="111">
        <v>-92408.396046499998</v>
      </c>
      <c r="X23" s="123">
        <v>-81000.977354100018</v>
      </c>
      <c r="Y23" s="123">
        <v>-85920.07108129999</v>
      </c>
      <c r="Z23" s="123">
        <v>-92611</v>
      </c>
      <c r="AA23" s="111">
        <f t="shared" si="17"/>
        <v>-351940.44448190002</v>
      </c>
      <c r="AB23" s="111">
        <v>-97019</v>
      </c>
      <c r="AC23" s="123"/>
      <c r="AD23" s="123"/>
      <c r="AE23" s="123"/>
      <c r="AF23" s="111">
        <f t="shared" si="18"/>
        <v>-97019</v>
      </c>
    </row>
    <row r="24" spans="1:32" ht="12.75" customHeight="1">
      <c r="A24" s="116" t="s">
        <v>202</v>
      </c>
      <c r="B24" s="96" t="s">
        <v>186</v>
      </c>
      <c r="C24" s="111">
        <v>-346143.53996904159</v>
      </c>
      <c r="D24" s="111">
        <v>-336545.66492280009</v>
      </c>
      <c r="E24" s="111">
        <v>-295736.69482702931</v>
      </c>
      <c r="F24" s="111">
        <v>-225581.41621250001</v>
      </c>
      <c r="G24" s="111">
        <v>-198039.77712330001</v>
      </c>
      <c r="H24" s="111">
        <v>-50698.824448200008</v>
      </c>
      <c r="I24" s="111">
        <v>-62287.761088499996</v>
      </c>
      <c r="J24" s="111">
        <v>-70520.819938999979</v>
      </c>
      <c r="K24" s="111">
        <v>-45367.083002700034</v>
      </c>
      <c r="L24" s="111">
        <f>SUM(H24:K24)</f>
        <v>-228874.48847840002</v>
      </c>
      <c r="M24" s="111">
        <v>-55040.605812700007</v>
      </c>
      <c r="N24" s="111">
        <v>-56928.239907499978</v>
      </c>
      <c r="O24" s="111">
        <v>-53831.767136900053</v>
      </c>
      <c r="P24" s="111">
        <v>-55527.895668699952</v>
      </c>
      <c r="Q24" s="111">
        <f>SUM(M24:P24)</f>
        <v>-221328.50852579999</v>
      </c>
      <c r="R24" s="111">
        <v>-47976</v>
      </c>
      <c r="S24" s="111">
        <v>-51101</v>
      </c>
      <c r="T24" s="123">
        <v>-67141</v>
      </c>
      <c r="U24" s="111">
        <v>-56978</v>
      </c>
      <c r="V24" s="111">
        <f>SUM(R24:U24)</f>
        <v>-223196</v>
      </c>
      <c r="W24" s="111">
        <v>-57777.4117319</v>
      </c>
      <c r="X24" s="123">
        <v>-73661.544925684837</v>
      </c>
      <c r="Y24" s="123">
        <v>-82764.810874395072</v>
      </c>
      <c r="Z24" s="123">
        <v>-81406</v>
      </c>
      <c r="AA24" s="111">
        <f t="shared" si="17"/>
        <v>-295609.76753197995</v>
      </c>
      <c r="AB24" s="111">
        <v>-85327</v>
      </c>
      <c r="AC24" s="123"/>
      <c r="AD24" s="123"/>
      <c r="AE24" s="123"/>
      <c r="AF24" s="111">
        <f t="shared" si="18"/>
        <v>-85327</v>
      </c>
    </row>
    <row r="25" spans="1:32">
      <c r="A25" s="104" t="s">
        <v>203</v>
      </c>
      <c r="B25" s="104" t="s">
        <v>186</v>
      </c>
      <c r="C25" s="120">
        <f t="shared" ref="C25:F25" si="26">SUM(C21:C24)</f>
        <v>-2469552.5788268414</v>
      </c>
      <c r="D25" s="120">
        <f t="shared" si="26"/>
        <v>-2759992.1042151037</v>
      </c>
      <c r="E25" s="120">
        <f t="shared" si="26"/>
        <v>-2563800.7840635777</v>
      </c>
      <c r="F25" s="120">
        <f t="shared" si="26"/>
        <v>-1948635.3588890003</v>
      </c>
      <c r="G25" s="120">
        <f t="shared" ref="G25:W25" si="27">SUM(G21:G24)</f>
        <v>-1759440.7218465251</v>
      </c>
      <c r="H25" s="120">
        <f t="shared" ref="H25" si="28">SUM(H21:H24)</f>
        <v>-417866.8246856</v>
      </c>
      <c r="I25" s="120">
        <f t="shared" ref="I25" si="29">SUM(I21:I24)</f>
        <v>-495816.69222238363</v>
      </c>
      <c r="J25" s="120">
        <f t="shared" ref="J25" si="30">SUM(J21:J24)</f>
        <v>-528223.16923451633</v>
      </c>
      <c r="K25" s="120">
        <f t="shared" ref="K25" si="31">SUM(K21:K24)</f>
        <v>-491264.00848498358</v>
      </c>
      <c r="L25" s="120">
        <f t="shared" si="27"/>
        <v>-1933170.6946274836</v>
      </c>
      <c r="M25" s="120">
        <f t="shared" ref="M25" si="32">SUM(M21:M24)</f>
        <v>-472180.79683402291</v>
      </c>
      <c r="N25" s="120">
        <f t="shared" ref="N25" si="33">SUM(N21:N24)</f>
        <v>-481388.68080779875</v>
      </c>
      <c r="O25" s="120">
        <f t="shared" ref="O25" si="34">SUM(O21:O24)</f>
        <v>-509313.27807353257</v>
      </c>
      <c r="P25" s="120">
        <f t="shared" ref="P25" si="35">SUM(P21:P24)</f>
        <v>-413571.79095424159</v>
      </c>
      <c r="Q25" s="120">
        <f t="shared" si="27"/>
        <v>-1876454.5466695956</v>
      </c>
      <c r="R25" s="120">
        <f t="shared" si="27"/>
        <v>-450353</v>
      </c>
      <c r="S25" s="120">
        <f t="shared" si="27"/>
        <v>-462564</v>
      </c>
      <c r="T25" s="120">
        <f t="shared" si="27"/>
        <v>-526067</v>
      </c>
      <c r="U25" s="120">
        <f t="shared" si="27"/>
        <v>-665087.31348396151</v>
      </c>
      <c r="V25" s="120">
        <f t="shared" si="27"/>
        <v>-2104071.3134839614</v>
      </c>
      <c r="W25" s="120">
        <f t="shared" si="27"/>
        <v>-510051.57455480169</v>
      </c>
      <c r="X25" s="120">
        <f t="shared" ref="X25:Y25" si="36">SUM(X21:X24)</f>
        <v>-573998.26810465602</v>
      </c>
      <c r="Y25" s="130">
        <f t="shared" si="36"/>
        <v>-653572.21449223685</v>
      </c>
      <c r="Z25" s="130">
        <f t="shared" ref="Z25" si="37">SUM(Z21:Z24)</f>
        <v>-630690</v>
      </c>
      <c r="AA25" s="120">
        <f t="shared" si="17"/>
        <v>-2368312.0571516943</v>
      </c>
      <c r="AB25" s="120">
        <f t="shared" ref="AB25:AE25" si="38">SUM(AB21:AB24)</f>
        <v>-680949</v>
      </c>
      <c r="AC25" s="120">
        <f t="shared" si="38"/>
        <v>0</v>
      </c>
      <c r="AD25" s="130">
        <f t="shared" si="38"/>
        <v>0</v>
      </c>
      <c r="AE25" s="130">
        <f t="shared" si="38"/>
        <v>0</v>
      </c>
      <c r="AF25" s="120">
        <f t="shared" si="18"/>
        <v>-680949</v>
      </c>
    </row>
    <row r="26" spans="1:32" s="112" customFormat="1">
      <c r="A26" s="106" t="s">
        <v>204</v>
      </c>
      <c r="B26" s="106" t="s">
        <v>186</v>
      </c>
      <c r="C26" s="120">
        <f t="shared" ref="C26:F26" si="39">SUM(C25,C20)</f>
        <v>938479.7398829516</v>
      </c>
      <c r="D26" s="120">
        <f t="shared" si="39"/>
        <v>886877.18709279737</v>
      </c>
      <c r="E26" s="120">
        <f t="shared" si="39"/>
        <v>422523.68535109609</v>
      </c>
      <c r="F26" s="120">
        <f t="shared" si="39"/>
        <v>60501.58769909991</v>
      </c>
      <c r="G26" s="120">
        <f t="shared" ref="G26:P26" si="40">SUM(G25,G20)</f>
        <v>-112122.32131092506</v>
      </c>
      <c r="H26" s="120">
        <f t="shared" ref="H26:K26" si="41">SUM(H25,H20)</f>
        <v>-18973.917690000031</v>
      </c>
      <c r="I26" s="120">
        <f t="shared" si="41"/>
        <v>-55257.266756883706</v>
      </c>
      <c r="J26" s="120">
        <f t="shared" si="41"/>
        <v>-19053.41925551591</v>
      </c>
      <c r="K26" s="120">
        <f t="shared" si="41"/>
        <v>-33304.204338684038</v>
      </c>
      <c r="L26" s="120">
        <f t="shared" si="40"/>
        <v>-126588.80804108386</v>
      </c>
      <c r="M26" s="120">
        <f t="shared" si="40"/>
        <v>-49040.157384123013</v>
      </c>
      <c r="N26" s="120">
        <f t="shared" si="40"/>
        <v>-33705.072030798532</v>
      </c>
      <c r="O26" s="120">
        <f t="shared" si="40"/>
        <v>11908.969323667232</v>
      </c>
      <c r="P26" s="120">
        <f t="shared" si="40"/>
        <v>87978.785651658371</v>
      </c>
      <c r="Q26" s="120">
        <f t="shared" ref="Q26:V26" si="42">SUM(Q25,Q20)</f>
        <v>17142.525560404407</v>
      </c>
      <c r="R26" s="120">
        <f t="shared" ref="R26:U26" si="43">SUM(R25,R20)</f>
        <v>2276.9193808000418</v>
      </c>
      <c r="S26" s="120">
        <f t="shared" si="43"/>
        <v>59457.169534300105</v>
      </c>
      <c r="T26" s="120">
        <f t="shared" si="43"/>
        <v>186607.62093309977</v>
      </c>
      <c r="U26" s="120">
        <f t="shared" si="43"/>
        <v>50194.686516038491</v>
      </c>
      <c r="V26" s="120">
        <f t="shared" si="42"/>
        <v>298536.39636423858</v>
      </c>
      <c r="W26" s="120">
        <f t="shared" ref="W26:Z26" si="44">SUM(W25,W20)</f>
        <v>183994.42544519831</v>
      </c>
      <c r="X26" s="120">
        <f t="shared" si="44"/>
        <v>220076.73189534398</v>
      </c>
      <c r="Y26" s="130">
        <f t="shared" si="44"/>
        <v>217175.32915076299</v>
      </c>
      <c r="Z26" s="130">
        <f t="shared" si="44"/>
        <v>163118.45635699993</v>
      </c>
      <c r="AA26" s="120">
        <f t="shared" si="17"/>
        <v>784364.94284830522</v>
      </c>
      <c r="AB26" s="120">
        <f t="shared" ref="AB26:AE26" si="45">SUM(AB25,AB20)</f>
        <v>103345</v>
      </c>
      <c r="AC26" s="120">
        <f t="shared" si="45"/>
        <v>0</v>
      </c>
      <c r="AD26" s="130">
        <f t="shared" si="45"/>
        <v>0</v>
      </c>
      <c r="AE26" s="130">
        <f t="shared" si="45"/>
        <v>0</v>
      </c>
      <c r="AF26" s="120">
        <f t="shared" si="18"/>
        <v>103345</v>
      </c>
    </row>
    <row r="27" spans="1:32" s="112" customFormat="1">
      <c r="A27" s="116" t="s">
        <v>205</v>
      </c>
      <c r="B27" s="96" t="s">
        <v>186</v>
      </c>
      <c r="C27" s="111">
        <v>-143508.57916960696</v>
      </c>
      <c r="D27" s="111">
        <v>-175666.34143771729</v>
      </c>
      <c r="E27" s="111">
        <v>-168595.73837768217</v>
      </c>
      <c r="F27" s="111">
        <v>-179224.87413630134</v>
      </c>
      <c r="G27" s="123">
        <v>-188439.18045450028</v>
      </c>
      <c r="H27" s="111">
        <v>-34238.68915520022</v>
      </c>
      <c r="I27" s="111">
        <v>-40272.950490208401</v>
      </c>
      <c r="J27" s="111">
        <v>-42112.53582269109</v>
      </c>
      <c r="K27" s="111">
        <v>-38975.808316500275</v>
      </c>
      <c r="L27" s="111">
        <f>SUM(H27:K27)</f>
        <v>-155599.98378459999</v>
      </c>
      <c r="M27" s="111">
        <v>-42115.763054799783</v>
      </c>
      <c r="N27" s="111">
        <v>-40426.70172200026</v>
      </c>
      <c r="O27" s="111">
        <v>-45123.197547099189</v>
      </c>
      <c r="P27" s="111">
        <v>-42462.438867800767</v>
      </c>
      <c r="Q27" s="111">
        <f>SUM(M27:P27)</f>
        <v>-170128.1011917</v>
      </c>
      <c r="R27" s="111">
        <v>-40524.949380599828</v>
      </c>
      <c r="S27" s="111">
        <v>-39026</v>
      </c>
      <c r="T27" s="123">
        <v>-41647</v>
      </c>
      <c r="U27" s="111">
        <v>-67381</v>
      </c>
      <c r="V27" s="111">
        <f>SUM(R27:U27)</f>
        <v>-188578.94938059984</v>
      </c>
      <c r="W27" s="111">
        <v>-44628.039544000552</v>
      </c>
      <c r="X27" s="123">
        <v>-59693.922989199433</v>
      </c>
      <c r="Y27" s="123">
        <v>-65682</v>
      </c>
      <c r="Z27" s="123">
        <v>-67875</v>
      </c>
      <c r="AA27" s="111">
        <f t="shared" si="17"/>
        <v>-237878.96253319999</v>
      </c>
      <c r="AB27" s="111">
        <v>-65272</v>
      </c>
      <c r="AC27" s="123"/>
      <c r="AD27" s="123"/>
      <c r="AE27" s="123"/>
      <c r="AF27" s="111">
        <f t="shared" si="18"/>
        <v>-65272</v>
      </c>
    </row>
    <row r="28" spans="1:32" s="112" customFormat="1">
      <c r="A28" s="116" t="s">
        <v>206</v>
      </c>
      <c r="B28" s="96" t="s">
        <v>186</v>
      </c>
      <c r="C28" s="111">
        <v>5034.5152300000009</v>
      </c>
      <c r="D28" s="111">
        <v>-32667.89645</v>
      </c>
      <c r="E28" s="111">
        <v>-7259.5062146999999</v>
      </c>
      <c r="F28" s="111">
        <v>-2429.8871897000004</v>
      </c>
      <c r="G28" s="123">
        <v>-2444.3851510999998</v>
      </c>
      <c r="H28" s="111">
        <v>-5406.7252165000027</v>
      </c>
      <c r="I28" s="111">
        <v>-5500.0779296000183</v>
      </c>
      <c r="J28" s="111">
        <v>-6159.8147557999764</v>
      </c>
      <c r="K28" s="111">
        <v>-5035.9424916000025</v>
      </c>
      <c r="L28" s="111">
        <f>SUM(H28:K28)</f>
        <v>-22102.5603935</v>
      </c>
      <c r="M28" s="111">
        <v>-4233.6598353000009</v>
      </c>
      <c r="N28" s="111">
        <v>-4207.2360167000006</v>
      </c>
      <c r="O28" s="111">
        <v>-6023.4834936999978</v>
      </c>
      <c r="P28" s="111">
        <v>-7417.8845858999994</v>
      </c>
      <c r="Q28" s="111">
        <f>SUM(M28:P28)</f>
        <v>-21882.263931599999</v>
      </c>
      <c r="R28" s="111">
        <v>-6249</v>
      </c>
      <c r="S28" s="111">
        <v>-1575</v>
      </c>
      <c r="T28" s="123">
        <v>-5618</v>
      </c>
      <c r="U28" s="111">
        <v>-3621</v>
      </c>
      <c r="V28" s="111">
        <f>SUM(R28:U28)</f>
        <v>-17063</v>
      </c>
      <c r="W28" s="111">
        <v>-3860.2431695999935</v>
      </c>
      <c r="X28" s="123">
        <v>-5210.0407075000057</v>
      </c>
      <c r="Y28" s="123">
        <v>-6727</v>
      </c>
      <c r="Z28" s="123">
        <v>-4482</v>
      </c>
      <c r="AA28" s="111">
        <f t="shared" si="17"/>
        <v>-20279.283877099999</v>
      </c>
      <c r="AB28" s="111">
        <v>-5070</v>
      </c>
      <c r="AC28" s="123"/>
      <c r="AD28" s="123"/>
      <c r="AE28" s="123"/>
      <c r="AF28" s="111">
        <f t="shared" si="18"/>
        <v>-5070</v>
      </c>
    </row>
    <row r="29" spans="1:32" s="112" customFormat="1">
      <c r="A29" s="116" t="s">
        <v>201</v>
      </c>
      <c r="B29" s="96" t="s">
        <v>186</v>
      </c>
      <c r="C29" s="111">
        <v>-2054.7196922059829</v>
      </c>
      <c r="D29" s="111">
        <v>-11360.450080000002</v>
      </c>
      <c r="E29" s="111">
        <v>-12447.793820000001</v>
      </c>
      <c r="F29" s="111">
        <v>-13886.269120000004</v>
      </c>
      <c r="G29" s="111">
        <v>-14119.581769999997</v>
      </c>
      <c r="H29" s="111">
        <v>-3250.3461100000004</v>
      </c>
      <c r="I29" s="111">
        <v>-3461.6505199999983</v>
      </c>
      <c r="J29" s="111">
        <v>-3266.2046000000018</v>
      </c>
      <c r="K29" s="111">
        <v>-3423.8716399999994</v>
      </c>
      <c r="L29" s="111">
        <f>SUM(H29:K29)</f>
        <v>-13402.07287</v>
      </c>
      <c r="M29" s="111">
        <v>-2337.5038500000001</v>
      </c>
      <c r="N29" s="111">
        <v>-1550.2837399999999</v>
      </c>
      <c r="O29" s="111">
        <v>-1572.7403599999998</v>
      </c>
      <c r="P29" s="111">
        <v>-5250.6185899999973</v>
      </c>
      <c r="Q29" s="111">
        <f>SUM(M29:P29)</f>
        <v>-10711.146539999998</v>
      </c>
      <c r="R29" s="111">
        <v>-1479.4515499999998</v>
      </c>
      <c r="S29" s="111">
        <v>-2062</v>
      </c>
      <c r="T29" s="123">
        <v>-3541.5364100000006</v>
      </c>
      <c r="U29" s="111">
        <v>-4974</v>
      </c>
      <c r="V29" s="111">
        <f>SUM(R29:U29)</f>
        <v>-12056.98796</v>
      </c>
      <c r="W29" s="111">
        <v>-2669.1507200000001</v>
      </c>
      <c r="X29" s="123">
        <v>-2632.9576099999999</v>
      </c>
      <c r="Y29" s="123">
        <v>-2551</v>
      </c>
      <c r="Z29" s="123">
        <v>-2989</v>
      </c>
      <c r="AA29" s="111">
        <f t="shared" si="17"/>
        <v>-10842.108329999999</v>
      </c>
      <c r="AB29" s="111">
        <v>-2354</v>
      </c>
      <c r="AC29" s="123"/>
      <c r="AD29" s="123"/>
      <c r="AE29" s="123"/>
      <c r="AF29" s="111">
        <f t="shared" si="18"/>
        <v>-2354</v>
      </c>
    </row>
    <row r="30" spans="1:32" s="112" customFormat="1">
      <c r="A30" s="106" t="s">
        <v>207</v>
      </c>
      <c r="B30" s="104" t="s">
        <v>186</v>
      </c>
      <c r="C30" s="120">
        <f t="shared" ref="C30:F30" si="46">SUM(C27:C29)</f>
        <v>-140528.78363181296</v>
      </c>
      <c r="D30" s="120">
        <f t="shared" si="46"/>
        <v>-219694.6879677173</v>
      </c>
      <c r="E30" s="120">
        <f t="shared" si="46"/>
        <v>-188303.03841238216</v>
      </c>
      <c r="F30" s="120">
        <f t="shared" si="46"/>
        <v>-195541.03044600136</v>
      </c>
      <c r="G30" s="120">
        <f t="shared" ref="G30:V30" si="47">SUM(G27:G29)</f>
        <v>-205003.14737560027</v>
      </c>
      <c r="H30" s="120">
        <f t="shared" ref="H30:K30" si="48">SUM(H27:H29)</f>
        <v>-42895.760481700221</v>
      </c>
      <c r="I30" s="120">
        <f t="shared" si="48"/>
        <v>-49234.678939808415</v>
      </c>
      <c r="J30" s="120">
        <f t="shared" si="48"/>
        <v>-51538.555178491071</v>
      </c>
      <c r="K30" s="120">
        <f t="shared" si="48"/>
        <v>-47435.622448100272</v>
      </c>
      <c r="L30" s="120">
        <f t="shared" si="47"/>
        <v>-191104.61704809999</v>
      </c>
      <c r="M30" s="120">
        <f t="shared" si="47"/>
        <v>-48686.926740099785</v>
      </c>
      <c r="N30" s="120">
        <f t="shared" si="47"/>
        <v>-46184.221478700259</v>
      </c>
      <c r="O30" s="120">
        <f t="shared" si="47"/>
        <v>-52719.421400799183</v>
      </c>
      <c r="P30" s="120">
        <f t="shared" si="47"/>
        <v>-55130.942043700765</v>
      </c>
      <c r="Q30" s="120">
        <f t="shared" si="47"/>
        <v>-202721.51166329999</v>
      </c>
      <c r="R30" s="120">
        <f t="shared" ref="R30:U30" si="49">SUM(R27:R29)</f>
        <v>-48253.400930599826</v>
      </c>
      <c r="S30" s="120">
        <f t="shared" si="49"/>
        <v>-42663</v>
      </c>
      <c r="T30" s="120">
        <f t="shared" si="49"/>
        <v>-50806.536410000001</v>
      </c>
      <c r="U30" s="120">
        <f t="shared" si="49"/>
        <v>-75976</v>
      </c>
      <c r="V30" s="120">
        <f t="shared" si="47"/>
        <v>-217698.93734059983</v>
      </c>
      <c r="W30" s="120">
        <f t="shared" ref="W30:Z30" si="50">SUM(W27:W29)</f>
        <v>-51157.433433600541</v>
      </c>
      <c r="X30" s="120">
        <f t="shared" si="50"/>
        <v>-67536.921306699442</v>
      </c>
      <c r="Y30" s="130">
        <f t="shared" si="50"/>
        <v>-74960</v>
      </c>
      <c r="Z30" s="130">
        <f t="shared" si="50"/>
        <v>-75346</v>
      </c>
      <c r="AA30" s="120">
        <f t="shared" si="17"/>
        <v>-269000.35474029998</v>
      </c>
      <c r="AB30" s="120">
        <f t="shared" ref="AB30:AE30" si="51">SUM(AB27:AB29)</f>
        <v>-72696</v>
      </c>
      <c r="AC30" s="120">
        <f t="shared" si="51"/>
        <v>0</v>
      </c>
      <c r="AD30" s="130">
        <f t="shared" si="51"/>
        <v>0</v>
      </c>
      <c r="AE30" s="130">
        <f t="shared" si="51"/>
        <v>0</v>
      </c>
      <c r="AF30" s="120">
        <f t="shared" si="18"/>
        <v>-72696</v>
      </c>
    </row>
    <row r="31" spans="1:32" s="97" customFormat="1">
      <c r="A31" s="121" t="s">
        <v>208</v>
      </c>
      <c r="B31" s="122" t="s">
        <v>186</v>
      </c>
      <c r="C31" s="123">
        <v>36887.270311270855</v>
      </c>
      <c r="D31" s="123">
        <v>73270.847688438633</v>
      </c>
      <c r="E31" s="123">
        <v>120266.48574222514</v>
      </c>
      <c r="F31" s="123">
        <v>110919.0943818823</v>
      </c>
      <c r="G31" s="123">
        <v>126775.54515931172</v>
      </c>
      <c r="H31" s="123">
        <v>0.11405803002389803</v>
      </c>
      <c r="I31" s="123">
        <v>-0.11405803002389803</v>
      </c>
      <c r="J31" s="123">
        <v>0</v>
      </c>
      <c r="K31" s="123">
        <v>0</v>
      </c>
      <c r="L31" s="111">
        <f>SUM(H31:K31)</f>
        <v>0</v>
      </c>
      <c r="M31" s="123">
        <v>0</v>
      </c>
      <c r="N31" s="123">
        <v>0</v>
      </c>
      <c r="O31" s="123">
        <v>0</v>
      </c>
      <c r="P31" s="123">
        <v>0</v>
      </c>
      <c r="Q31" s="111">
        <f>SUM(M31:P31)</f>
        <v>0</v>
      </c>
      <c r="R31" s="123">
        <v>0</v>
      </c>
      <c r="S31" s="123">
        <v>0</v>
      </c>
      <c r="T31" s="123">
        <v>0</v>
      </c>
      <c r="U31" s="123">
        <v>0</v>
      </c>
      <c r="V31" s="111">
        <f>SUM(R31:U31)</f>
        <v>0</v>
      </c>
      <c r="W31" s="123">
        <v>0</v>
      </c>
      <c r="X31" s="123">
        <v>100.83959630000078</v>
      </c>
      <c r="Y31" s="123">
        <v>-10.839596300000778</v>
      </c>
      <c r="Z31" s="123">
        <f>74-SUM(W31:Y31)</f>
        <v>-16</v>
      </c>
      <c r="AA31" s="111">
        <f t="shared" si="17"/>
        <v>74</v>
      </c>
      <c r="AB31" s="123">
        <v>6</v>
      </c>
      <c r="AC31" s="123"/>
      <c r="AD31" s="123"/>
      <c r="AE31" s="123"/>
      <c r="AF31" s="111">
        <f t="shared" si="18"/>
        <v>6</v>
      </c>
    </row>
    <row r="32" spans="1:32" s="97" customFormat="1">
      <c r="A32" s="121" t="s">
        <v>209</v>
      </c>
      <c r="B32" s="122" t="s">
        <v>186</v>
      </c>
      <c r="C32" s="123">
        <v>76140.583793627287</v>
      </c>
      <c r="D32" s="123">
        <v>57668.391959800014</v>
      </c>
      <c r="E32" s="123">
        <v>84785.546457999983</v>
      </c>
      <c r="F32" s="123">
        <v>44355.763525199996</v>
      </c>
      <c r="G32" s="123">
        <v>-742931.63170231285</v>
      </c>
      <c r="H32" s="123">
        <v>-1694.3609619999334</v>
      </c>
      <c r="I32" s="123">
        <v>12987.870203599832</v>
      </c>
      <c r="J32" s="123">
        <v>78329.054328500017</v>
      </c>
      <c r="K32" s="123">
        <v>-99309.778581034145</v>
      </c>
      <c r="L32" s="111">
        <f>SUM(H32:K32)</f>
        <v>-9687.2150109342329</v>
      </c>
      <c r="M32" s="123">
        <v>19143.749262999911</v>
      </c>
      <c r="N32" s="123">
        <v>27997.073859999968</v>
      </c>
      <c r="O32" s="123">
        <v>27443.028638800068</v>
      </c>
      <c r="P32" s="123">
        <v>-88348.474229792162</v>
      </c>
      <c r="Q32" s="111">
        <f>SUM(M32:P32)</f>
        <v>-13764.622467992216</v>
      </c>
      <c r="R32" s="123">
        <v>9463</v>
      </c>
      <c r="S32" s="123">
        <v>17899</v>
      </c>
      <c r="T32" s="123">
        <v>27053.997759400027</v>
      </c>
      <c r="U32" s="123">
        <v>50920</v>
      </c>
      <c r="V32" s="111">
        <f>SUM(R32:U32)</f>
        <v>105335.99775940002</v>
      </c>
      <c r="W32" s="123">
        <v>20401</v>
      </c>
      <c r="X32" s="123">
        <v>78470.113967900019</v>
      </c>
      <c r="Y32" s="123">
        <v>-9628.1139679000189</v>
      </c>
      <c r="Z32" s="123">
        <v>48757</v>
      </c>
      <c r="AA32" s="111">
        <f t="shared" si="17"/>
        <v>138000</v>
      </c>
      <c r="AB32" s="123">
        <v>5105</v>
      </c>
      <c r="AC32" s="123"/>
      <c r="AD32" s="123"/>
      <c r="AE32" s="123"/>
      <c r="AF32" s="111">
        <f t="shared" si="18"/>
        <v>5105</v>
      </c>
    </row>
    <row r="33" spans="1:37" s="112" customFormat="1">
      <c r="A33" s="106" t="s">
        <v>210</v>
      </c>
      <c r="B33" s="106" t="s">
        <v>186</v>
      </c>
      <c r="C33" s="120">
        <f t="shared" ref="C33:F33" si="52">SUM(C30:C32,C26)</f>
        <v>910978.81035603676</v>
      </c>
      <c r="D33" s="120">
        <f t="shared" si="52"/>
        <v>798121.73877331871</v>
      </c>
      <c r="E33" s="120">
        <f t="shared" si="52"/>
        <v>439272.67913893907</v>
      </c>
      <c r="F33" s="120">
        <f t="shared" si="52"/>
        <v>20235.415160180848</v>
      </c>
      <c r="G33" s="120">
        <f t="shared" ref="G33:P33" si="53">SUM(G30:G32,G26)</f>
        <v>-933281.55522952648</v>
      </c>
      <c r="H33" s="120">
        <f t="shared" ref="H33:K33" si="54">SUM(H30:H32,H26)</f>
        <v>-63563.925075670159</v>
      </c>
      <c r="I33" s="120">
        <f t="shared" si="54"/>
        <v>-91504.189551122312</v>
      </c>
      <c r="J33" s="120">
        <f t="shared" si="54"/>
        <v>7737.0798944930357</v>
      </c>
      <c r="K33" s="120">
        <f t="shared" si="54"/>
        <v>-180049.60536781844</v>
      </c>
      <c r="L33" s="120">
        <f t="shared" si="53"/>
        <v>-327380.64010011806</v>
      </c>
      <c r="M33" s="120">
        <f t="shared" si="53"/>
        <v>-78583.334861222887</v>
      </c>
      <c r="N33" s="120">
        <f t="shared" si="53"/>
        <v>-51892.219649498824</v>
      </c>
      <c r="O33" s="120">
        <f t="shared" si="53"/>
        <v>-13367.423438331884</v>
      </c>
      <c r="P33" s="120">
        <f t="shared" si="53"/>
        <v>-55500.630621834542</v>
      </c>
      <c r="Q33" s="120">
        <f t="shared" ref="Q33:V33" si="55">SUM(Q30:Q32,Q26)</f>
        <v>-199343.60857088779</v>
      </c>
      <c r="R33" s="120">
        <f t="shared" ref="R33:U33" si="56">SUM(R30:R32,R26)</f>
        <v>-36513.481549799784</v>
      </c>
      <c r="S33" s="120">
        <f t="shared" si="56"/>
        <v>34693.169534300105</v>
      </c>
      <c r="T33" s="130">
        <f t="shared" si="56"/>
        <v>162855.08228249979</v>
      </c>
      <c r="U33" s="120">
        <f t="shared" si="56"/>
        <v>25138.686516038491</v>
      </c>
      <c r="V33" s="120">
        <f t="shared" si="55"/>
        <v>186173.45678303877</v>
      </c>
      <c r="W33" s="120">
        <f t="shared" ref="W33:Z33" si="57">SUM(W30:W32,W26)</f>
        <v>153237.99201159779</v>
      </c>
      <c r="X33" s="120">
        <f t="shared" si="57"/>
        <v>231110.76415284455</v>
      </c>
      <c r="Y33" s="130">
        <f t="shared" si="57"/>
        <v>132576.37558656296</v>
      </c>
      <c r="Z33" s="130">
        <f t="shared" si="57"/>
        <v>136513.45635699993</v>
      </c>
      <c r="AA33" s="120">
        <f t="shared" si="17"/>
        <v>653438.58810800523</v>
      </c>
      <c r="AB33" s="120">
        <f t="shared" ref="AB33:AE33" si="58">SUM(AB30:AB32,AB26)</f>
        <v>35760</v>
      </c>
      <c r="AC33" s="120">
        <f t="shared" si="58"/>
        <v>0</v>
      </c>
      <c r="AD33" s="130">
        <f t="shared" si="58"/>
        <v>0</v>
      </c>
      <c r="AE33" s="130">
        <f t="shared" si="58"/>
        <v>0</v>
      </c>
      <c r="AF33" s="120">
        <f t="shared" si="18"/>
        <v>35760</v>
      </c>
    </row>
    <row r="34" spans="1:37">
      <c r="A34" s="124" t="s">
        <v>211</v>
      </c>
      <c r="B34" s="98" t="s">
        <v>186</v>
      </c>
      <c r="C34" s="111">
        <v>-83328.228224358914</v>
      </c>
      <c r="D34" s="111">
        <v>29875.815906949574</v>
      </c>
      <c r="E34" s="111">
        <v>-70562.73259330896</v>
      </c>
      <c r="F34" s="111">
        <v>-76336.577572000009</v>
      </c>
      <c r="G34" s="111">
        <v>-10267.898863399998</v>
      </c>
      <c r="H34" s="111">
        <v>-1689.9499032000022</v>
      </c>
      <c r="I34" s="111">
        <v>-92317.078625500013</v>
      </c>
      <c r="J34" s="111">
        <v>-30292.738530400027</v>
      </c>
      <c r="K34" s="111">
        <v>26403.767059100035</v>
      </c>
      <c r="L34" s="111">
        <f>SUM(H34:K34)</f>
        <v>-97896</v>
      </c>
      <c r="M34" s="111">
        <v>-2180.3440700000037</v>
      </c>
      <c r="N34" s="111">
        <v>-1308.7959299999975</v>
      </c>
      <c r="O34" s="111">
        <v>-1972.0174699999907</v>
      </c>
      <c r="P34" s="111">
        <v>443.15746999999192</v>
      </c>
      <c r="Q34" s="111">
        <f>SUM(M34:P34)</f>
        <v>-5018</v>
      </c>
      <c r="R34" s="111">
        <v>-7975.7429499999998</v>
      </c>
      <c r="S34" s="111">
        <v>-8670.7302799999979</v>
      </c>
      <c r="T34" s="123">
        <v>-7679</v>
      </c>
      <c r="U34" s="111">
        <v>1173</v>
      </c>
      <c r="V34" s="111">
        <f>SUM(R34:U34)</f>
        <v>-23152.473229999996</v>
      </c>
      <c r="W34" s="111">
        <v>-2144</v>
      </c>
      <c r="X34" s="123">
        <v>-130.01847821305591</v>
      </c>
      <c r="Y34" s="123">
        <v>-1255</v>
      </c>
      <c r="Z34" s="123">
        <v>-1265.9815217869404</v>
      </c>
      <c r="AA34" s="111">
        <f t="shared" si="17"/>
        <v>-4794.9999999999964</v>
      </c>
      <c r="AB34" s="111">
        <v>-5802</v>
      </c>
      <c r="AC34" s="123"/>
      <c r="AD34" s="123"/>
      <c r="AE34" s="123"/>
      <c r="AF34" s="111">
        <f t="shared" si="18"/>
        <v>-5802</v>
      </c>
    </row>
    <row r="35" spans="1:37">
      <c r="A35" s="124" t="s">
        <v>212</v>
      </c>
      <c r="B35" s="98" t="s">
        <v>186</v>
      </c>
      <c r="C35" s="111">
        <v>170391.28968296552</v>
      </c>
      <c r="D35" s="111">
        <v>197649.26042530715</v>
      </c>
      <c r="E35" s="111">
        <v>173236.60511901669</v>
      </c>
      <c r="F35" s="111">
        <v>213153.2451765</v>
      </c>
      <c r="G35" s="111">
        <v>123872.79678328869</v>
      </c>
      <c r="H35" s="111">
        <v>46266.687537200007</v>
      </c>
      <c r="I35" s="111">
        <v>-42734.075937653477</v>
      </c>
      <c r="J35" s="111">
        <v>79854.844210156472</v>
      </c>
      <c r="K35" s="111">
        <v>49504.544190296998</v>
      </c>
      <c r="L35" s="111">
        <f>SUM(H35:K35)</f>
        <v>132892</v>
      </c>
      <c r="M35" s="111">
        <v>9898.4621372000038</v>
      </c>
      <c r="N35" s="111">
        <v>19686.059678299989</v>
      </c>
      <c r="O35" s="111">
        <v>19204.090549500012</v>
      </c>
      <c r="P35" s="111">
        <v>5738.3876349999955</v>
      </c>
      <c r="Q35" s="111">
        <f>SUM(M35:P35)</f>
        <v>54527</v>
      </c>
      <c r="R35" s="111">
        <v>19113</v>
      </c>
      <c r="S35" s="111">
        <v>9921</v>
      </c>
      <c r="T35" s="123">
        <v>14837</v>
      </c>
      <c r="U35" s="111">
        <v>1221</v>
      </c>
      <c r="V35" s="111">
        <f>SUM(R35:U35)</f>
        <v>45092</v>
      </c>
      <c r="W35" s="149">
        <f>4269-920</f>
        <v>3349</v>
      </c>
      <c r="X35" s="123">
        <v>60050.103624899995</v>
      </c>
      <c r="Y35" s="123">
        <v>22865</v>
      </c>
      <c r="Z35" s="123">
        <v>52927.896375100012</v>
      </c>
      <c r="AA35" s="111">
        <f t="shared" si="17"/>
        <v>139192</v>
      </c>
      <c r="AB35" s="111">
        <v>26522</v>
      </c>
      <c r="AC35" s="123"/>
      <c r="AD35" s="123"/>
      <c r="AE35" s="123"/>
      <c r="AF35" s="111">
        <f t="shared" si="18"/>
        <v>26522</v>
      </c>
    </row>
    <row r="36" spans="1:37">
      <c r="A36" s="116" t="s">
        <v>213</v>
      </c>
      <c r="B36" s="98" t="s">
        <v>186</v>
      </c>
      <c r="C36" s="111">
        <v>-377069.63150750496</v>
      </c>
      <c r="D36" s="111">
        <v>-561945.3766834304</v>
      </c>
      <c r="E36" s="111">
        <v>-722068.06435210421</v>
      </c>
      <c r="F36" s="111">
        <v>-601382.12350490014</v>
      </c>
      <c r="G36" s="111">
        <v>-417333.69110159884</v>
      </c>
      <c r="H36" s="111">
        <v>-63359.899242099978</v>
      </c>
      <c r="I36" s="111">
        <v>-70443.229054400043</v>
      </c>
      <c r="J36" s="111">
        <v>-60645.100517999934</v>
      </c>
      <c r="K36" s="111">
        <v>-81157.771185500067</v>
      </c>
      <c r="L36" s="111">
        <f>SUM(H36:K36)</f>
        <v>-275606</v>
      </c>
      <c r="M36" s="111">
        <v>-55563.69656514316</v>
      </c>
      <c r="N36" s="111">
        <v>-47323.439458402558</v>
      </c>
      <c r="O36" s="111">
        <v>-93992.036768573293</v>
      </c>
      <c r="P36" s="111">
        <v>-134397.45343427866</v>
      </c>
      <c r="Q36" s="111">
        <f>SUM(M36:P36)</f>
        <v>-331276.6262263977</v>
      </c>
      <c r="R36" s="111">
        <v>-33929</v>
      </c>
      <c r="S36" s="111">
        <v>-65230</v>
      </c>
      <c r="T36" s="123">
        <v>-60663</v>
      </c>
      <c r="U36" s="111">
        <v>-60537</v>
      </c>
      <c r="V36" s="111">
        <f>SUM(R36:U36)</f>
        <v>-220359</v>
      </c>
      <c r="W36" s="149">
        <f>-37681+920</f>
        <v>-36761</v>
      </c>
      <c r="X36" s="123">
        <v>-56324.108781786934</v>
      </c>
      <c r="Y36" s="123">
        <v>-72168</v>
      </c>
      <c r="Z36" s="123">
        <v>-94831.891218213073</v>
      </c>
      <c r="AA36" s="111">
        <f t="shared" si="17"/>
        <v>-260085</v>
      </c>
      <c r="AB36" s="111">
        <v>-111984</v>
      </c>
      <c r="AC36" s="123"/>
      <c r="AD36" s="123"/>
      <c r="AE36" s="123"/>
      <c r="AF36" s="111">
        <f t="shared" si="18"/>
        <v>-111984</v>
      </c>
      <c r="AG36" s="125"/>
      <c r="AH36" s="125"/>
      <c r="AI36" s="125"/>
      <c r="AJ36" s="125"/>
      <c r="AK36" s="125"/>
    </row>
    <row r="37" spans="1:37" s="126" customFormat="1">
      <c r="A37" s="134" t="s">
        <v>214</v>
      </c>
      <c r="B37" s="104" t="s">
        <v>186</v>
      </c>
      <c r="C37" s="120">
        <f t="shared" ref="C37:F37" si="59">SUM(C34:C36)</f>
        <v>-290006.57004889834</v>
      </c>
      <c r="D37" s="120">
        <f t="shared" si="59"/>
        <v>-334420.30035117368</v>
      </c>
      <c r="E37" s="120">
        <f t="shared" si="59"/>
        <v>-619394.19182639651</v>
      </c>
      <c r="F37" s="120">
        <f t="shared" si="59"/>
        <v>-464565.45590040018</v>
      </c>
      <c r="G37" s="120">
        <f t="shared" ref="G37:V39" si="60">SUM(G34:G36)</f>
        <v>-303728.79318171018</v>
      </c>
      <c r="H37" s="120">
        <f t="shared" ref="H37:K37" si="61">SUM(H34:H36)</f>
        <v>-18783.161608099974</v>
      </c>
      <c r="I37" s="120">
        <f t="shared" si="61"/>
        <v>-205494.38361755351</v>
      </c>
      <c r="J37" s="120">
        <f t="shared" si="61"/>
        <v>-11082.994838243489</v>
      </c>
      <c r="K37" s="120">
        <f t="shared" si="61"/>
        <v>-5249.4599361030414</v>
      </c>
      <c r="L37" s="120">
        <f t="shared" si="60"/>
        <v>-240610</v>
      </c>
      <c r="M37" s="120">
        <f t="shared" si="60"/>
        <v>-47845.578497943163</v>
      </c>
      <c r="N37" s="120">
        <f t="shared" si="60"/>
        <v>-28946.175710102565</v>
      </c>
      <c r="O37" s="120">
        <f t="shared" si="60"/>
        <v>-76759.96368907328</v>
      </c>
      <c r="P37" s="120">
        <f t="shared" si="60"/>
        <v>-128215.90832927868</v>
      </c>
      <c r="Q37" s="120">
        <f t="shared" si="60"/>
        <v>-281767.6262263977</v>
      </c>
      <c r="R37" s="120">
        <f t="shared" ref="R37:U37" si="62">SUM(R34:R36)</f>
        <v>-22791.74295</v>
      </c>
      <c r="S37" s="120">
        <f t="shared" si="62"/>
        <v>-63979.730279999996</v>
      </c>
      <c r="T37" s="130">
        <f t="shared" si="62"/>
        <v>-53505</v>
      </c>
      <c r="U37" s="120">
        <f t="shared" si="62"/>
        <v>-58143</v>
      </c>
      <c r="V37" s="120">
        <f t="shared" si="60"/>
        <v>-198419.47323</v>
      </c>
      <c r="W37" s="120">
        <f t="shared" ref="W37:Z37" si="63">SUM(W34:W36)</f>
        <v>-35556</v>
      </c>
      <c r="X37" s="130">
        <f t="shared" si="63"/>
        <v>3595.9763649000088</v>
      </c>
      <c r="Y37" s="130">
        <f t="shared" si="63"/>
        <v>-50558</v>
      </c>
      <c r="Z37" s="130">
        <f t="shared" si="63"/>
        <v>-43169.976364900001</v>
      </c>
      <c r="AA37" s="120">
        <f t="shared" si="17"/>
        <v>-125688</v>
      </c>
      <c r="AB37" s="120">
        <f t="shared" ref="AB37:AE37" si="64">SUM(AB34:AB36)</f>
        <v>-91264</v>
      </c>
      <c r="AC37" s="130">
        <f t="shared" si="64"/>
        <v>0</v>
      </c>
      <c r="AD37" s="130">
        <f t="shared" si="64"/>
        <v>0</v>
      </c>
      <c r="AE37" s="130">
        <f t="shared" si="64"/>
        <v>0</v>
      </c>
      <c r="AF37" s="120">
        <f t="shared" si="18"/>
        <v>-91264</v>
      </c>
    </row>
    <row r="38" spans="1:37">
      <c r="A38" s="106" t="s">
        <v>215</v>
      </c>
      <c r="B38" s="104" t="s">
        <v>186</v>
      </c>
      <c r="C38" s="120">
        <f t="shared" ref="C38:F38" si="65">SUM(C37,C33)</f>
        <v>620972.24030713842</v>
      </c>
      <c r="D38" s="120">
        <f t="shared" si="65"/>
        <v>463701.43842214503</v>
      </c>
      <c r="E38" s="120">
        <f t="shared" si="65"/>
        <v>-180121.51268745743</v>
      </c>
      <c r="F38" s="120">
        <f t="shared" si="65"/>
        <v>-444330.04074021935</v>
      </c>
      <c r="G38" s="120">
        <f t="shared" ref="G38:V38" si="66">SUM(G37,G33)</f>
        <v>-1237010.3484112367</v>
      </c>
      <c r="H38" s="120">
        <f t="shared" ref="H38:K38" si="67">SUM(H37,H33)</f>
        <v>-82347.086683770132</v>
      </c>
      <c r="I38" s="120">
        <f t="shared" si="67"/>
        <v>-296998.57316867582</v>
      </c>
      <c r="J38" s="120">
        <f t="shared" si="67"/>
        <v>-3345.9149437504529</v>
      </c>
      <c r="K38" s="120">
        <f t="shared" si="67"/>
        <v>-185299.06530392147</v>
      </c>
      <c r="L38" s="120">
        <f t="shared" si="66"/>
        <v>-567990.64010011801</v>
      </c>
      <c r="M38" s="120">
        <f t="shared" si="66"/>
        <v>-126428.91335916605</v>
      </c>
      <c r="N38" s="120">
        <f t="shared" si="66"/>
        <v>-80838.395359601389</v>
      </c>
      <c r="O38" s="120">
        <f t="shared" si="66"/>
        <v>-90127.387127405163</v>
      </c>
      <c r="P38" s="120">
        <f t="shared" si="66"/>
        <v>-183716.53895111324</v>
      </c>
      <c r="Q38" s="120">
        <f t="shared" si="66"/>
        <v>-481111.23479728552</v>
      </c>
      <c r="R38" s="120">
        <f t="shared" ref="R38:U38" si="68">SUM(R37,R33)</f>
        <v>-59305.224499799784</v>
      </c>
      <c r="S38" s="120">
        <f t="shared" si="68"/>
        <v>-29286.560745699891</v>
      </c>
      <c r="T38" s="130">
        <f t="shared" si="68"/>
        <v>109350.08228249979</v>
      </c>
      <c r="U38" s="120">
        <f t="shared" si="68"/>
        <v>-33004.313483961509</v>
      </c>
      <c r="V38" s="120">
        <f t="shared" si="66"/>
        <v>-12246.016446961235</v>
      </c>
      <c r="W38" s="120">
        <f t="shared" ref="W38:Z38" si="69">SUM(W37,W33)</f>
        <v>117681.99201159779</v>
      </c>
      <c r="X38" s="120">
        <f t="shared" si="69"/>
        <v>234706.74051774456</v>
      </c>
      <c r="Y38" s="130">
        <f t="shared" si="69"/>
        <v>82018.375586562965</v>
      </c>
      <c r="Z38" s="130">
        <f t="shared" si="69"/>
        <v>93343.479992099921</v>
      </c>
      <c r="AA38" s="120">
        <f t="shared" si="17"/>
        <v>527750.58810800523</v>
      </c>
      <c r="AB38" s="120">
        <f t="shared" ref="AB38:AE38" si="70">SUM(AB37,AB33)</f>
        <v>-55504</v>
      </c>
      <c r="AC38" s="120">
        <f t="shared" si="70"/>
        <v>0</v>
      </c>
      <c r="AD38" s="130">
        <f t="shared" si="70"/>
        <v>0</v>
      </c>
      <c r="AE38" s="130">
        <f t="shared" si="70"/>
        <v>0</v>
      </c>
      <c r="AF38" s="120">
        <f t="shared" si="18"/>
        <v>-55504</v>
      </c>
    </row>
    <row r="39" spans="1:37">
      <c r="A39" s="96" t="s">
        <v>216</v>
      </c>
      <c r="B39" s="96" t="s">
        <v>186</v>
      </c>
      <c r="C39" s="111">
        <v>-157043.32830927934</v>
      </c>
      <c r="D39" s="111">
        <v>-39977.752977531847</v>
      </c>
      <c r="E39" s="111">
        <v>97618.200386308032</v>
      </c>
      <c r="F39" s="111">
        <v>183726.6704796</v>
      </c>
      <c r="G39" s="111">
        <v>-308028.59588406351</v>
      </c>
      <c r="H39" s="111">
        <v>-4339.9433376000006</v>
      </c>
      <c r="I39" s="111">
        <v>-2858.6748436000371</v>
      </c>
      <c r="J39" s="111">
        <v>-26467.937088799961</v>
      </c>
      <c r="K39" s="111">
        <v>-20999.444730000003</v>
      </c>
      <c r="L39" s="111">
        <f>SUM(H39:K39)</f>
        <v>-54666</v>
      </c>
      <c r="M39" s="111">
        <v>-4280.8353272000004</v>
      </c>
      <c r="N39" s="111">
        <v>-5307.4830345000009</v>
      </c>
      <c r="O39" s="111">
        <v>-18756.144259099994</v>
      </c>
      <c r="P39" s="111">
        <v>28453.462620799997</v>
      </c>
      <c r="Q39" s="111">
        <f>SUM(M39:P39)</f>
        <v>109</v>
      </c>
      <c r="R39" s="111">
        <v>-5149.4252400000005</v>
      </c>
      <c r="S39" s="111">
        <v>-2848</v>
      </c>
      <c r="T39" s="111">
        <v>-3117</v>
      </c>
      <c r="U39" s="111">
        <v>-800.27764999999999</v>
      </c>
      <c r="V39" s="111">
        <f t="shared" si="60"/>
        <v>-431024.48967696121</v>
      </c>
      <c r="W39" s="111">
        <v>618</v>
      </c>
      <c r="X39" s="111">
        <v>-43435</v>
      </c>
      <c r="Y39" s="123">
        <v>-8602</v>
      </c>
      <c r="Z39" s="123">
        <f>786520-SUM(W39:Y39)</f>
        <v>837939</v>
      </c>
      <c r="AA39" s="111">
        <f t="shared" si="17"/>
        <v>786520</v>
      </c>
      <c r="AB39" s="111">
        <v>31114</v>
      </c>
      <c r="AC39" s="111"/>
      <c r="AD39" s="123"/>
      <c r="AE39" s="123"/>
      <c r="AF39" s="111">
        <f t="shared" si="18"/>
        <v>31114</v>
      </c>
    </row>
    <row r="40" spans="1:37">
      <c r="A40" s="106" t="s">
        <v>217</v>
      </c>
      <c r="B40" s="104" t="s">
        <v>186</v>
      </c>
      <c r="C40" s="120">
        <f t="shared" ref="C40:F40" si="71">SUM(C38:C39)</f>
        <v>463928.91199785908</v>
      </c>
      <c r="D40" s="120">
        <f t="shared" si="71"/>
        <v>423723.68544461316</v>
      </c>
      <c r="E40" s="120">
        <f t="shared" si="71"/>
        <v>-82503.312301149403</v>
      </c>
      <c r="F40" s="120">
        <f t="shared" si="71"/>
        <v>-260603.37026061935</v>
      </c>
      <c r="G40" s="120">
        <f t="shared" ref="G40:V40" si="72">SUM(G38:G39)</f>
        <v>-1545038.9442953002</v>
      </c>
      <c r="H40" s="120">
        <f t="shared" ref="H40:K40" si="73">SUM(H38:H39)</f>
        <v>-86687.030021370127</v>
      </c>
      <c r="I40" s="120">
        <f t="shared" si="73"/>
        <v>-299857.24801227584</v>
      </c>
      <c r="J40" s="120">
        <f t="shared" si="73"/>
        <v>-29813.852032550414</v>
      </c>
      <c r="K40" s="120">
        <f t="shared" si="73"/>
        <v>-206298.51003392146</v>
      </c>
      <c r="L40" s="120">
        <f t="shared" si="72"/>
        <v>-622656.64010011801</v>
      </c>
      <c r="M40" s="120">
        <f t="shared" si="72"/>
        <v>-130709.74868636605</v>
      </c>
      <c r="N40" s="120">
        <f t="shared" si="72"/>
        <v>-86145.878394101397</v>
      </c>
      <c r="O40" s="120">
        <f t="shared" si="72"/>
        <v>-108883.53138650516</v>
      </c>
      <c r="P40" s="120">
        <f t="shared" si="72"/>
        <v>-155263.07633031323</v>
      </c>
      <c r="Q40" s="120">
        <f t="shared" si="72"/>
        <v>-481002.23479728552</v>
      </c>
      <c r="R40" s="120">
        <f t="shared" ref="R40:U40" si="74">SUM(R38:R39)</f>
        <v>-64454.649739799788</v>
      </c>
      <c r="S40" s="120">
        <f t="shared" si="74"/>
        <v>-32134.560745699891</v>
      </c>
      <c r="T40" s="120">
        <f t="shared" si="74"/>
        <v>106233.08228249979</v>
      </c>
      <c r="U40" s="120">
        <f t="shared" si="74"/>
        <v>-33804.591133961512</v>
      </c>
      <c r="V40" s="120">
        <f t="shared" si="72"/>
        <v>-443270.50612392242</v>
      </c>
      <c r="W40" s="120">
        <f t="shared" ref="W40:Z40" si="75">SUM(W38:W39)</f>
        <v>118299.99201159779</v>
      </c>
      <c r="X40" s="120">
        <f t="shared" si="75"/>
        <v>191271.74051774456</v>
      </c>
      <c r="Y40" s="120">
        <f t="shared" si="75"/>
        <v>73416.375586562965</v>
      </c>
      <c r="Z40" s="120">
        <f t="shared" si="75"/>
        <v>931282.47999209992</v>
      </c>
      <c r="AA40" s="120">
        <f t="shared" si="17"/>
        <v>1314270.5881080052</v>
      </c>
      <c r="AB40" s="120">
        <f t="shared" ref="AB40:AE40" si="76">SUM(AB38:AB39)</f>
        <v>-24390</v>
      </c>
      <c r="AC40" s="120">
        <f t="shared" si="76"/>
        <v>0</v>
      </c>
      <c r="AD40" s="120">
        <f t="shared" si="76"/>
        <v>0</v>
      </c>
      <c r="AE40" s="120">
        <f t="shared" si="76"/>
        <v>0</v>
      </c>
      <c r="AF40" s="120">
        <f t="shared" si="18"/>
        <v>-24390</v>
      </c>
    </row>
    <row r="41" spans="1:37">
      <c r="A41" s="107"/>
      <c r="B41" s="96"/>
      <c r="C41" s="96"/>
      <c r="D41" s="96"/>
      <c r="E41" s="118"/>
      <c r="F41" s="96"/>
      <c r="G41" s="125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</row>
  </sheetData>
  <pageMargins left="0.511811024" right="0.511811024" top="0.78740157499999996" bottom="0.78740157499999996" header="0.31496062000000002" footer="0.31496062000000002"/>
  <pageSetup paperSize="9" scale="35" fitToHeight="0" orientation="portrait" r:id="rId1"/>
  <ignoredErrors>
    <ignoredError sqref="R13:W13 Q16:Q19 Q34:Q39 Q31:Q32 Q21:Q29 L16:L19 L34:L39 R11:W11 R8:W8 R14:W15 R34:S34 R20:U20 W20:W33 R40:W41 R38:U38 W38 R33:U33 T32 R37:W37 V35 V36 R39 V39:W39 V34:W34 R25:U26 R30:U31 R29 R16:T19 V16:W19 V10" formulaRange="1"/>
    <ignoredError sqref="V9" formula="1"/>
    <ignoredError sqref="Q33 Q30 Q20 L20:L33 V20:V33 V38" formula="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190"/>
  <sheetViews>
    <sheetView showGridLines="0" tabSelected="1" zoomScaleNormal="100" workbookViewId="0">
      <pane xSplit="2" ySplit="5" topLeftCell="L120" activePane="bottomRight" state="frozen"/>
      <selection pane="topRight" activeCell="C1" sqref="C1"/>
      <selection pane="bottomLeft" activeCell="A6" sqref="A6"/>
      <selection pane="bottomRight" activeCell="A138" sqref="A138"/>
    </sheetView>
  </sheetViews>
  <sheetFormatPr defaultRowHeight="12.75"/>
  <cols>
    <col min="1" max="1" width="66.140625" style="98" bestFit="1" customWidth="1"/>
    <col min="2" max="2" width="13.5703125" style="98" bestFit="1" customWidth="1"/>
    <col min="3" max="6" width="12.5703125" style="98" customWidth="1"/>
    <col min="7" max="20" width="12.7109375" style="98" bestFit="1" customWidth="1"/>
    <col min="21" max="16384" width="9.140625" style="98"/>
  </cols>
  <sheetData>
    <row r="1" spans="1:20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0">
      <c r="A2" s="96"/>
      <c r="B2" s="96"/>
      <c r="C2" s="96"/>
      <c r="D2" s="118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>
      <c r="A3" s="96"/>
      <c r="B3" s="96"/>
      <c r="C3" s="118"/>
      <c r="D3" s="118"/>
      <c r="E3" s="96"/>
      <c r="F3" s="96"/>
      <c r="G3" s="96"/>
      <c r="H3" s="96"/>
      <c r="I3" s="96"/>
      <c r="J3" s="96"/>
      <c r="K3" s="108"/>
      <c r="L3" s="108"/>
      <c r="M3" s="108"/>
      <c r="N3" s="108"/>
      <c r="O3" s="96"/>
      <c r="P3" s="108"/>
      <c r="Q3" s="108"/>
      <c r="R3" s="108"/>
      <c r="S3" s="108"/>
      <c r="T3" s="96"/>
    </row>
    <row r="4" spans="1:20">
      <c r="A4" s="96"/>
      <c r="B4" s="96"/>
      <c r="C4" s="118"/>
      <c r="D4" s="118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</row>
    <row r="5" spans="1:20">
      <c r="A5" s="99"/>
      <c r="B5" s="72" t="s">
        <v>169</v>
      </c>
      <c r="C5" s="73">
        <v>2013</v>
      </c>
      <c r="D5" s="73">
        <v>2014</v>
      </c>
      <c r="E5" s="73">
        <v>2015</v>
      </c>
      <c r="F5" s="73">
        <v>2016</v>
      </c>
      <c r="G5" s="73">
        <v>2017</v>
      </c>
      <c r="H5" s="73">
        <v>2018</v>
      </c>
      <c r="I5" s="73">
        <v>2019</v>
      </c>
      <c r="J5" s="73">
        <v>2020</v>
      </c>
      <c r="K5" s="135" t="s">
        <v>182</v>
      </c>
      <c r="L5" s="135" t="s">
        <v>183</v>
      </c>
      <c r="M5" s="135" t="s">
        <v>184</v>
      </c>
      <c r="N5" s="135" t="s">
        <v>318</v>
      </c>
      <c r="O5" s="73">
        <v>2021</v>
      </c>
      <c r="P5" s="135" t="s">
        <v>323</v>
      </c>
      <c r="Q5" s="135" t="s">
        <v>324</v>
      </c>
      <c r="R5" s="135" t="s">
        <v>325</v>
      </c>
      <c r="S5" s="135" t="s">
        <v>326</v>
      </c>
      <c r="T5" s="73">
        <v>2022</v>
      </c>
    </row>
    <row r="6" spans="1:20">
      <c r="A6" s="142" t="s">
        <v>218</v>
      </c>
      <c r="B6" s="146"/>
      <c r="C6" s="146"/>
      <c r="D6" s="146"/>
      <c r="E6" s="146"/>
      <c r="F6" s="146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</row>
    <row r="7" spans="1:20">
      <c r="A7" s="96" t="s">
        <v>215</v>
      </c>
      <c r="B7" s="96" t="s">
        <v>186</v>
      </c>
      <c r="C7" s="111">
        <v>620972.24030713842</v>
      </c>
      <c r="D7" s="111">
        <v>463701.43842214503</v>
      </c>
      <c r="E7" s="111">
        <v>-180121.51268745743</v>
      </c>
      <c r="F7" s="111">
        <v>-444330.04074021935</v>
      </c>
      <c r="G7" s="111">
        <v>-1237010.3484112367</v>
      </c>
      <c r="H7" s="111">
        <v>-567990.64010011801</v>
      </c>
      <c r="I7" s="111">
        <v>-481111.23479728552</v>
      </c>
      <c r="J7" s="111">
        <v>-12247.456777540559</v>
      </c>
      <c r="K7" s="111">
        <v>117681.99201159779</v>
      </c>
      <c r="L7" s="111">
        <f>352389-K7</f>
        <v>234707.00798840221</v>
      </c>
      <c r="M7" s="111">
        <f>434408-K7-L7</f>
        <v>82019</v>
      </c>
      <c r="N7" s="111">
        <f t="shared" ref="N7:N19" si="0">O7</f>
        <v>527751</v>
      </c>
      <c r="O7" s="111">
        <v>527751</v>
      </c>
      <c r="P7" s="111">
        <v>-55504</v>
      </c>
      <c r="Q7" s="111"/>
      <c r="R7" s="111"/>
      <c r="S7" s="111"/>
      <c r="T7" s="111"/>
    </row>
    <row r="8" spans="1:20">
      <c r="A8" s="96" t="s">
        <v>219</v>
      </c>
      <c r="B8" s="96" t="s">
        <v>186</v>
      </c>
      <c r="C8" s="111">
        <v>185275</v>
      </c>
      <c r="D8" s="111">
        <v>233585</v>
      </c>
      <c r="E8" s="111">
        <v>239168</v>
      </c>
      <c r="F8" s="111">
        <v>269050</v>
      </c>
      <c r="G8" s="111">
        <v>249810.78658265306</v>
      </c>
      <c r="H8" s="111">
        <v>245025</v>
      </c>
      <c r="I8" s="111">
        <v>251432</v>
      </c>
      <c r="J8" s="111">
        <v>271469</v>
      </c>
      <c r="K8" s="111">
        <v>66238</v>
      </c>
      <c r="L8" s="111">
        <f>121304-K8</f>
        <v>55066</v>
      </c>
      <c r="M8" s="111">
        <f>181178-L8-K8</f>
        <v>59874</v>
      </c>
      <c r="N8" s="111">
        <f t="shared" si="0"/>
        <v>249389</v>
      </c>
      <c r="O8" s="111">
        <v>249389</v>
      </c>
      <c r="P8" s="111">
        <v>72602</v>
      </c>
      <c r="Q8" s="111"/>
      <c r="R8" s="111"/>
      <c r="S8" s="111"/>
      <c r="T8" s="111"/>
    </row>
    <row r="9" spans="1:20">
      <c r="A9" s="96" t="s">
        <v>220</v>
      </c>
      <c r="B9" s="96" t="s">
        <v>186</v>
      </c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92186</v>
      </c>
      <c r="J9" s="111">
        <v>108363</v>
      </c>
      <c r="K9" s="111">
        <v>28836</v>
      </c>
      <c r="L9" s="111">
        <f>57407-K9</f>
        <v>28571</v>
      </c>
      <c r="M9" s="111">
        <f>86004-L9-K9</f>
        <v>28597</v>
      </c>
      <c r="N9" s="111">
        <f t="shared" si="0"/>
        <v>113394</v>
      </c>
      <c r="O9" s="111">
        <v>113394</v>
      </c>
      <c r="P9" s="111">
        <v>26771</v>
      </c>
      <c r="Q9" s="111"/>
      <c r="R9" s="111"/>
      <c r="S9" s="111"/>
      <c r="T9" s="111"/>
    </row>
    <row r="10" spans="1:20">
      <c r="A10" s="96" t="s">
        <v>253</v>
      </c>
      <c r="B10" s="96" t="s">
        <v>186</v>
      </c>
      <c r="C10" s="128">
        <v>-36887</v>
      </c>
      <c r="D10" s="128">
        <v>-73270</v>
      </c>
      <c r="E10" s="128">
        <v>-120267</v>
      </c>
      <c r="F10" s="128">
        <v>-110919</v>
      </c>
      <c r="G10" s="128">
        <v>-126775.3577469497</v>
      </c>
      <c r="H10" s="128">
        <v>0</v>
      </c>
      <c r="I10" s="128">
        <v>0</v>
      </c>
      <c r="J10" s="128">
        <v>0</v>
      </c>
      <c r="K10" s="128">
        <v>0</v>
      </c>
      <c r="L10" s="128">
        <v>-101</v>
      </c>
      <c r="M10" s="128">
        <f>-90-L10-K10</f>
        <v>11</v>
      </c>
      <c r="N10" s="128">
        <f t="shared" si="0"/>
        <v>-74</v>
      </c>
      <c r="O10" s="128">
        <v>-74</v>
      </c>
      <c r="P10" s="128">
        <v>-6</v>
      </c>
      <c r="Q10" s="128"/>
      <c r="R10" s="128"/>
      <c r="S10" s="128"/>
      <c r="T10" s="128"/>
    </row>
    <row r="11" spans="1:20">
      <c r="A11" s="122" t="s">
        <v>221</v>
      </c>
      <c r="B11" s="96" t="s">
        <v>186</v>
      </c>
      <c r="C11" s="128">
        <v>-33920</v>
      </c>
      <c r="D11" s="128">
        <v>-7463</v>
      </c>
      <c r="E11" s="128">
        <v>11498</v>
      </c>
      <c r="F11" s="128">
        <v>17286</v>
      </c>
      <c r="G11" s="128">
        <v>91628.397519626611</v>
      </c>
      <c r="H11" s="128">
        <v>36472</v>
      </c>
      <c r="I11" s="128">
        <v>-14661</v>
      </c>
      <c r="J11" s="128">
        <v>42084</v>
      </c>
      <c r="K11" s="128">
        <v>1183</v>
      </c>
      <c r="L11" s="128">
        <f>1350-K11</f>
        <v>167</v>
      </c>
      <c r="M11" s="128">
        <f>-6985-L11-K11</f>
        <v>-8335</v>
      </c>
      <c r="N11" s="128">
        <f t="shared" si="0"/>
        <v>17047</v>
      </c>
      <c r="O11" s="128">
        <v>17047</v>
      </c>
      <c r="P11" s="128">
        <v>6804</v>
      </c>
      <c r="Q11" s="128"/>
      <c r="R11" s="128"/>
      <c r="S11" s="128"/>
      <c r="T11" s="128"/>
    </row>
    <row r="12" spans="1:20">
      <c r="A12" s="96" t="s">
        <v>222</v>
      </c>
      <c r="B12" s="96" t="s">
        <v>186</v>
      </c>
      <c r="C12" s="128">
        <v>0</v>
      </c>
      <c r="D12" s="111">
        <v>0</v>
      </c>
      <c r="E12" s="111">
        <v>0</v>
      </c>
      <c r="F12" s="128">
        <v>0</v>
      </c>
      <c r="G12" s="111">
        <v>0</v>
      </c>
      <c r="H12" s="128">
        <v>-134642</v>
      </c>
      <c r="I12" s="128">
        <v>7100</v>
      </c>
      <c r="J12" s="128">
        <v>-50999</v>
      </c>
      <c r="K12" s="128">
        <v>-3047</v>
      </c>
      <c r="L12" s="128">
        <f>-103017-K12</f>
        <v>-99970</v>
      </c>
      <c r="M12" s="128">
        <f>-104497-L12-K12</f>
        <v>-1480</v>
      </c>
      <c r="N12" s="128">
        <f t="shared" si="0"/>
        <v>-110854</v>
      </c>
      <c r="O12" s="128">
        <v>-110854</v>
      </c>
      <c r="P12" s="128">
        <v>-5898</v>
      </c>
      <c r="Q12" s="128"/>
      <c r="R12" s="128"/>
      <c r="S12" s="128"/>
      <c r="T12" s="128"/>
    </row>
    <row r="13" spans="1:20">
      <c r="A13" s="122" t="s">
        <v>223</v>
      </c>
      <c r="B13" s="96" t="s">
        <v>186</v>
      </c>
      <c r="C13" s="128">
        <v>0</v>
      </c>
      <c r="D13" s="111">
        <v>0</v>
      </c>
      <c r="E13" s="111">
        <v>0</v>
      </c>
      <c r="F13" s="128">
        <v>0</v>
      </c>
      <c r="G13" s="111">
        <v>0</v>
      </c>
      <c r="H13" s="128">
        <v>61182</v>
      </c>
      <c r="I13" s="128">
        <v>22810</v>
      </c>
      <c r="J13" s="128">
        <v>124052</v>
      </c>
      <c r="K13" s="128">
        <v>1354</v>
      </c>
      <c r="L13" s="128">
        <f>1354-K13</f>
        <v>0</v>
      </c>
      <c r="M13" s="128">
        <f>2530-L13-K13</f>
        <v>1176</v>
      </c>
      <c r="N13" s="128">
        <f t="shared" si="0"/>
        <v>23746</v>
      </c>
      <c r="O13" s="128">
        <v>23746</v>
      </c>
      <c r="P13" s="128">
        <v>909</v>
      </c>
      <c r="Q13" s="128"/>
      <c r="R13" s="128"/>
      <c r="S13" s="128"/>
      <c r="T13" s="128"/>
    </row>
    <row r="14" spans="1:20">
      <c r="A14" s="122" t="s">
        <v>319</v>
      </c>
      <c r="B14" s="96" t="s">
        <v>186</v>
      </c>
      <c r="C14" s="128">
        <v>0</v>
      </c>
      <c r="D14" s="111">
        <v>0</v>
      </c>
      <c r="E14" s="111">
        <v>0</v>
      </c>
      <c r="F14" s="128">
        <v>0</v>
      </c>
      <c r="G14" s="111">
        <v>0</v>
      </c>
      <c r="H14" s="128">
        <v>0</v>
      </c>
      <c r="I14" s="128">
        <v>0</v>
      </c>
      <c r="J14" s="128">
        <v>0</v>
      </c>
      <c r="K14" s="128">
        <v>0</v>
      </c>
      <c r="L14" s="128">
        <v>0</v>
      </c>
      <c r="M14" s="128">
        <v>0</v>
      </c>
      <c r="N14" s="128">
        <f t="shared" si="0"/>
        <v>-43100</v>
      </c>
      <c r="O14" s="128">
        <v>-43100</v>
      </c>
      <c r="P14" s="128">
        <v>0</v>
      </c>
      <c r="Q14" s="128"/>
      <c r="R14" s="128"/>
      <c r="S14" s="128"/>
      <c r="T14" s="128"/>
    </row>
    <row r="15" spans="1:20">
      <c r="A15" s="96" t="s">
        <v>224</v>
      </c>
      <c r="B15" s="96" t="s">
        <v>186</v>
      </c>
      <c r="C15" s="128">
        <v>386161</v>
      </c>
      <c r="D15" s="128">
        <v>407823</v>
      </c>
      <c r="E15" s="128">
        <v>700279</v>
      </c>
      <c r="F15" s="128">
        <v>476160</v>
      </c>
      <c r="G15" s="128">
        <v>295300.80582011753</v>
      </c>
      <c r="H15" s="128">
        <v>200596</v>
      </c>
      <c r="I15" s="128">
        <v>246472</v>
      </c>
      <c r="J15" s="128">
        <v>160980</v>
      </c>
      <c r="K15" s="128">
        <v>32518</v>
      </c>
      <c r="L15" s="128">
        <f>71873-K15</f>
        <v>39355</v>
      </c>
      <c r="M15" s="128">
        <f>131872-L15-K15</f>
        <v>59999</v>
      </c>
      <c r="N15" s="128">
        <f t="shared" si="0"/>
        <v>167023</v>
      </c>
      <c r="O15" s="128">
        <v>167023</v>
      </c>
      <c r="P15" s="128">
        <v>89221</v>
      </c>
      <c r="Q15" s="128"/>
      <c r="R15" s="128"/>
      <c r="S15" s="128"/>
      <c r="T15" s="128"/>
    </row>
    <row r="16" spans="1:20">
      <c r="A16" s="96" t="s">
        <v>225</v>
      </c>
      <c r="B16" s="96" t="s">
        <v>186</v>
      </c>
      <c r="C16" s="103">
        <v>-41090</v>
      </c>
      <c r="D16" s="103">
        <v>-34456</v>
      </c>
      <c r="E16" s="103">
        <v>-94902</v>
      </c>
      <c r="F16" s="103">
        <v>-39475</v>
      </c>
      <c r="G16" s="103">
        <v>-32282.06254716371</v>
      </c>
      <c r="H16" s="103">
        <v>-25648</v>
      </c>
      <c r="I16" s="103">
        <v>-41199</v>
      </c>
      <c r="J16" s="103">
        <v>-22548</v>
      </c>
      <c r="K16" s="103">
        <v>-5255</v>
      </c>
      <c r="L16" s="103">
        <f>-13369-K16</f>
        <v>-8114</v>
      </c>
      <c r="M16" s="103">
        <f>-13749-L16-K16</f>
        <v>-380</v>
      </c>
      <c r="N16" s="103">
        <f t="shared" si="0"/>
        <v>-41304</v>
      </c>
      <c r="O16" s="103">
        <v>-41304</v>
      </c>
      <c r="P16" s="103">
        <v>-547</v>
      </c>
      <c r="Q16" s="103"/>
      <c r="R16" s="103"/>
      <c r="S16" s="103"/>
      <c r="T16" s="103"/>
    </row>
    <row r="17" spans="1:20">
      <c r="A17" s="122" t="s">
        <v>226</v>
      </c>
      <c r="B17" s="96" t="s">
        <v>186</v>
      </c>
      <c r="C17" s="128">
        <v>-2209</v>
      </c>
      <c r="D17" s="128">
        <v>18161</v>
      </c>
      <c r="E17" s="128">
        <v>4809</v>
      </c>
      <c r="F17" s="128">
        <v>2880</v>
      </c>
      <c r="G17" s="128">
        <v>15532</v>
      </c>
      <c r="H17" s="128">
        <v>12937</v>
      </c>
      <c r="I17" s="128">
        <v>92140</v>
      </c>
      <c r="J17" s="128">
        <v>22635</v>
      </c>
      <c r="K17" s="128">
        <v>108</v>
      </c>
      <c r="L17" s="128">
        <f>0-K17</f>
        <v>-108</v>
      </c>
      <c r="M17" s="128">
        <v>0</v>
      </c>
      <c r="N17" s="128">
        <f t="shared" si="0"/>
        <v>24216</v>
      </c>
      <c r="O17" s="128">
        <v>24216</v>
      </c>
      <c r="P17" s="128">
        <v>0</v>
      </c>
      <c r="Q17" s="128"/>
      <c r="R17" s="128"/>
      <c r="S17" s="128"/>
      <c r="T17" s="128"/>
    </row>
    <row r="18" spans="1:20">
      <c r="A18" s="96" t="s">
        <v>254</v>
      </c>
      <c r="B18" s="96" t="s">
        <v>186</v>
      </c>
      <c r="C18" s="128">
        <v>0</v>
      </c>
      <c r="D18" s="128">
        <v>-4770</v>
      </c>
      <c r="E18" s="128">
        <v>0</v>
      </c>
      <c r="F18" s="128">
        <v>0</v>
      </c>
      <c r="G18" s="128">
        <v>0</v>
      </c>
      <c r="H18" s="128">
        <v>0</v>
      </c>
      <c r="I18" s="128">
        <v>0</v>
      </c>
      <c r="J18" s="128">
        <v>0</v>
      </c>
      <c r="K18" s="128">
        <v>0</v>
      </c>
      <c r="L18" s="128">
        <v>0</v>
      </c>
      <c r="M18" s="128">
        <v>0</v>
      </c>
      <c r="N18" s="128">
        <f t="shared" si="0"/>
        <v>0</v>
      </c>
      <c r="O18" s="128">
        <v>0</v>
      </c>
      <c r="P18" s="128">
        <v>0</v>
      </c>
      <c r="Q18" s="128"/>
      <c r="R18" s="128"/>
      <c r="S18" s="128"/>
      <c r="T18" s="128"/>
    </row>
    <row r="19" spans="1:20">
      <c r="A19" s="122" t="s">
        <v>227</v>
      </c>
      <c r="B19" s="96" t="s">
        <v>186</v>
      </c>
      <c r="C19" s="128">
        <v>0</v>
      </c>
      <c r="D19" s="128">
        <v>0</v>
      </c>
      <c r="E19" s="128">
        <v>0</v>
      </c>
      <c r="F19" s="128">
        <v>0</v>
      </c>
      <c r="G19" s="128">
        <v>711080.92221379827</v>
      </c>
      <c r="H19" s="128">
        <v>166013</v>
      </c>
      <c r="I19" s="128">
        <v>-27618</v>
      </c>
      <c r="J19" s="128">
        <v>-81876</v>
      </c>
      <c r="K19" s="128">
        <v>-6789</v>
      </c>
      <c r="L19" s="128">
        <f>-1071-K19</f>
        <v>5718</v>
      </c>
      <c r="M19" s="128">
        <f>14119-L19-K19</f>
        <v>15190</v>
      </c>
      <c r="N19" s="128">
        <f t="shared" si="0"/>
        <v>-28352</v>
      </c>
      <c r="O19" s="128">
        <v>-28352</v>
      </c>
      <c r="P19" s="128">
        <v>4150</v>
      </c>
      <c r="Q19" s="128"/>
      <c r="R19" s="128"/>
      <c r="S19" s="128"/>
      <c r="T19" s="128"/>
    </row>
    <row r="20" spans="1:20">
      <c r="A20" s="96" t="s">
        <v>255</v>
      </c>
      <c r="B20" s="96" t="s">
        <v>186</v>
      </c>
      <c r="C20" s="128">
        <f>SUM(C21:C31)</f>
        <v>-148074</v>
      </c>
      <c r="D20" s="128">
        <f t="shared" ref="D20:J20" si="1">SUM(D21:D31)</f>
        <v>-82638</v>
      </c>
      <c r="E20" s="128">
        <f t="shared" si="1"/>
        <v>-71800</v>
      </c>
      <c r="F20" s="128">
        <f t="shared" si="1"/>
        <v>16197</v>
      </c>
      <c r="G20" s="128">
        <f t="shared" si="1"/>
        <v>300181.76154287707</v>
      </c>
      <c r="H20" s="128">
        <f t="shared" si="1"/>
        <v>-15162</v>
      </c>
      <c r="I20" s="128">
        <f t="shared" si="1"/>
        <v>-36204</v>
      </c>
      <c r="J20" s="128">
        <f t="shared" si="1"/>
        <v>199262</v>
      </c>
      <c r="K20" s="128">
        <f t="shared" ref="K20" si="2">SUM(K21:K31)</f>
        <v>-71598</v>
      </c>
      <c r="L20" s="128">
        <f t="shared" ref="L20" si="3">SUM(L21:L31)</f>
        <v>-146010</v>
      </c>
      <c r="M20" s="128">
        <f t="shared" ref="M20" si="4">SUM(M21:M31)</f>
        <v>-13407</v>
      </c>
      <c r="N20" s="128">
        <f t="shared" ref="N20" si="5">SUM(N21:N31)</f>
        <v>-8172</v>
      </c>
      <c r="O20" s="128">
        <f>SUM(O21:O31)</f>
        <v>-8172</v>
      </c>
      <c r="P20" s="128">
        <f>SUM(P21:P31)</f>
        <v>-83456</v>
      </c>
      <c r="Q20" s="128"/>
      <c r="R20" s="128"/>
      <c r="S20" s="128"/>
      <c r="T20" s="128"/>
    </row>
    <row r="21" spans="1:20">
      <c r="A21" s="116" t="s">
        <v>256</v>
      </c>
      <c r="B21" s="96" t="s">
        <v>186</v>
      </c>
      <c r="C21" s="128">
        <v>-9993</v>
      </c>
      <c r="D21" s="128">
        <v>9439</v>
      </c>
      <c r="E21" s="128">
        <v>-2679</v>
      </c>
      <c r="F21" s="128">
        <v>-16150</v>
      </c>
      <c r="G21" s="128">
        <v>11510.92096109064</v>
      </c>
      <c r="H21" s="128">
        <v>-54581</v>
      </c>
      <c r="I21" s="128">
        <v>-5160</v>
      </c>
      <c r="J21" s="128">
        <v>-61474</v>
      </c>
      <c r="K21" s="128">
        <v>23807</v>
      </c>
      <c r="L21" s="128">
        <f>17374-K21</f>
        <v>-6433</v>
      </c>
      <c r="M21" s="128">
        <f>23116-L21-K21</f>
        <v>5742</v>
      </c>
      <c r="N21" s="128">
        <f t="shared" ref="N21:N32" si="6">O21</f>
        <v>22098</v>
      </c>
      <c r="O21" s="128">
        <v>22098</v>
      </c>
      <c r="P21" s="128">
        <v>-5902</v>
      </c>
      <c r="Q21" s="128"/>
      <c r="R21" s="128"/>
      <c r="S21" s="128"/>
      <c r="T21" s="128"/>
    </row>
    <row r="22" spans="1:20">
      <c r="A22" s="116" t="s">
        <v>229</v>
      </c>
      <c r="B22" s="96" t="s">
        <v>186</v>
      </c>
      <c r="C22" s="103">
        <v>-65187</v>
      </c>
      <c r="D22" s="103">
        <v>71292</v>
      </c>
      <c r="E22" s="103">
        <v>26461</v>
      </c>
      <c r="F22" s="103">
        <v>-11591</v>
      </c>
      <c r="G22" s="103">
        <v>95869.608437629548</v>
      </c>
      <c r="H22" s="103">
        <v>-14455</v>
      </c>
      <c r="I22" s="103">
        <v>-2942</v>
      </c>
      <c r="J22" s="103">
        <v>-106953</v>
      </c>
      <c r="K22" s="103">
        <v>-42481</v>
      </c>
      <c r="L22" s="103">
        <f>-69379-K22</f>
        <v>-26898</v>
      </c>
      <c r="M22" s="103">
        <f>-73988-L22-K22</f>
        <v>-4609</v>
      </c>
      <c r="N22" s="103">
        <f t="shared" si="6"/>
        <v>-15805</v>
      </c>
      <c r="O22" s="103">
        <v>-15805</v>
      </c>
      <c r="P22" s="103">
        <v>-60310</v>
      </c>
      <c r="Q22" s="103"/>
      <c r="R22" s="103"/>
      <c r="S22" s="103"/>
      <c r="T22" s="103"/>
    </row>
    <row r="23" spans="1:20">
      <c r="A23" s="116" t="s">
        <v>230</v>
      </c>
      <c r="B23" s="96" t="s">
        <v>186</v>
      </c>
      <c r="C23" s="128">
        <v>-12413</v>
      </c>
      <c r="D23" s="128">
        <v>-43133</v>
      </c>
      <c r="E23" s="128">
        <v>18733</v>
      </c>
      <c r="F23" s="128">
        <v>85753</v>
      </c>
      <c r="G23" s="128">
        <v>-20937.776461813693</v>
      </c>
      <c r="H23" s="128">
        <v>-68853</v>
      </c>
      <c r="I23" s="128">
        <v>42415</v>
      </c>
      <c r="J23" s="128">
        <v>-89405</v>
      </c>
      <c r="K23" s="128">
        <v>-55001</v>
      </c>
      <c r="L23" s="128">
        <f>-111032-K23</f>
        <v>-56031</v>
      </c>
      <c r="M23" s="128">
        <f>-128268-L23-K23</f>
        <v>-17236</v>
      </c>
      <c r="N23" s="128">
        <f t="shared" si="6"/>
        <v>-74560</v>
      </c>
      <c r="O23" s="128">
        <v>-74560</v>
      </c>
      <c r="P23" s="128">
        <v>-2132</v>
      </c>
      <c r="Q23" s="128"/>
      <c r="R23" s="128"/>
      <c r="S23" s="128"/>
      <c r="T23" s="128"/>
    </row>
    <row r="24" spans="1:20">
      <c r="A24" s="116" t="s">
        <v>222</v>
      </c>
      <c r="B24" s="96" t="s">
        <v>186</v>
      </c>
      <c r="C24" s="103">
        <v>-90086</v>
      </c>
      <c r="D24" s="103">
        <v>-9189</v>
      </c>
      <c r="E24" s="103">
        <v>28609</v>
      </c>
      <c r="F24" s="103">
        <v>21665</v>
      </c>
      <c r="G24" s="103">
        <v>75279.516192411131</v>
      </c>
      <c r="H24" s="103">
        <v>-5292</v>
      </c>
      <c r="I24" s="103">
        <v>59403</v>
      </c>
      <c r="J24" s="103">
        <v>190864</v>
      </c>
      <c r="K24" s="103">
        <v>-4236</v>
      </c>
      <c r="L24" s="103">
        <f>-361-K24</f>
        <v>3875</v>
      </c>
      <c r="M24" s="103">
        <f>-5151-L24-K24</f>
        <v>-4790</v>
      </c>
      <c r="N24" s="103">
        <f t="shared" si="6"/>
        <v>8143</v>
      </c>
      <c r="O24" s="103">
        <v>8143</v>
      </c>
      <c r="P24" s="103">
        <v>-5942</v>
      </c>
      <c r="Q24" s="103"/>
      <c r="R24" s="103"/>
      <c r="S24" s="103"/>
      <c r="T24" s="103"/>
    </row>
    <row r="25" spans="1:20">
      <c r="A25" s="116" t="s">
        <v>231</v>
      </c>
      <c r="B25" s="96" t="s">
        <v>186</v>
      </c>
      <c r="C25" s="128">
        <v>-1091</v>
      </c>
      <c r="D25" s="128">
        <v>-83694</v>
      </c>
      <c r="E25" s="128">
        <v>-76024</v>
      </c>
      <c r="F25" s="111">
        <v>-11203</v>
      </c>
      <c r="G25" s="128">
        <v>102691.21207639172</v>
      </c>
      <c r="H25" s="111">
        <v>3047</v>
      </c>
      <c r="I25" s="111">
        <v>-8914</v>
      </c>
      <c r="J25" s="111">
        <v>14499</v>
      </c>
      <c r="K25" s="111">
        <v>964</v>
      </c>
      <c r="L25" s="111">
        <f>-43484-K25</f>
        <v>-44448</v>
      </c>
      <c r="M25" s="111">
        <f>-37221-L25-K25</f>
        <v>6263</v>
      </c>
      <c r="N25" s="111">
        <f t="shared" si="6"/>
        <v>-42107</v>
      </c>
      <c r="O25" s="111">
        <v>-42107</v>
      </c>
      <c r="P25" s="111">
        <v>-8217</v>
      </c>
      <c r="Q25" s="111"/>
      <c r="R25" s="111"/>
      <c r="S25" s="111"/>
      <c r="T25" s="111"/>
    </row>
    <row r="26" spans="1:20">
      <c r="A26" s="116" t="s">
        <v>257</v>
      </c>
      <c r="B26" s="96" t="s">
        <v>186</v>
      </c>
      <c r="C26" s="111">
        <v>7115</v>
      </c>
      <c r="D26" s="111">
        <v>16016</v>
      </c>
      <c r="E26" s="111">
        <v>-33597</v>
      </c>
      <c r="F26" s="111">
        <v>9031</v>
      </c>
      <c r="G26" s="111">
        <v>23221.037222061794</v>
      </c>
      <c r="H26" s="111">
        <v>117711</v>
      </c>
      <c r="I26" s="111">
        <v>-102779</v>
      </c>
      <c r="J26" s="111">
        <v>52409</v>
      </c>
      <c r="K26" s="111">
        <v>3818</v>
      </c>
      <c r="L26" s="111">
        <f>-6597-K26</f>
        <v>-10415</v>
      </c>
      <c r="M26" s="111">
        <f>-2578-L26-K26</f>
        <v>4019</v>
      </c>
      <c r="N26" s="111">
        <f t="shared" si="6"/>
        <v>-2655</v>
      </c>
      <c r="O26" s="111">
        <v>-2655</v>
      </c>
      <c r="P26" s="111">
        <v>-3123</v>
      </c>
      <c r="Q26" s="111"/>
      <c r="R26" s="111"/>
      <c r="S26" s="111"/>
      <c r="T26" s="111"/>
    </row>
    <row r="27" spans="1:20">
      <c r="A27" s="116" t="s">
        <v>232</v>
      </c>
      <c r="B27" s="96" t="s">
        <v>186</v>
      </c>
      <c r="C27" s="111">
        <v>44536</v>
      </c>
      <c r="D27" s="111">
        <v>-69254</v>
      </c>
      <c r="E27" s="111">
        <v>-23861</v>
      </c>
      <c r="F27" s="111">
        <v>-60169</v>
      </c>
      <c r="G27" s="111">
        <v>40362.95317792477</v>
      </c>
      <c r="H27" s="111">
        <v>-18815</v>
      </c>
      <c r="I27" s="111">
        <v>15967</v>
      </c>
      <c r="J27" s="111">
        <v>144030</v>
      </c>
      <c r="K27" s="111">
        <v>-4797</v>
      </c>
      <c r="L27" s="111">
        <f>29453-K27</f>
        <v>34250</v>
      </c>
      <c r="M27" s="111">
        <f>54621-L27-K27</f>
        <v>25168</v>
      </c>
      <c r="N27" s="111">
        <f t="shared" si="6"/>
        <v>190469</v>
      </c>
      <c r="O27" s="111">
        <v>190469</v>
      </c>
      <c r="P27" s="111">
        <v>-13434</v>
      </c>
      <c r="Q27" s="111"/>
      <c r="R27" s="111"/>
      <c r="S27" s="111"/>
      <c r="T27" s="111"/>
    </row>
    <row r="28" spans="1:20">
      <c r="A28" s="116" t="s">
        <v>233</v>
      </c>
      <c r="B28" s="96" t="s">
        <v>186</v>
      </c>
      <c r="C28" s="111">
        <v>9074</v>
      </c>
      <c r="D28" s="111">
        <v>3415</v>
      </c>
      <c r="E28" s="111">
        <v>-4067</v>
      </c>
      <c r="F28" s="111">
        <v>-14595</v>
      </c>
      <c r="G28" s="111">
        <v>-585.48133640535764</v>
      </c>
      <c r="H28" s="111">
        <v>-2680</v>
      </c>
      <c r="I28" s="111">
        <v>-3584</v>
      </c>
      <c r="J28" s="111">
        <v>25704</v>
      </c>
      <c r="K28" s="111">
        <v>2292</v>
      </c>
      <c r="L28" s="111">
        <f>-21595-K28</f>
        <v>-23887</v>
      </c>
      <c r="M28" s="111">
        <f>-9213-L28-K28</f>
        <v>12382</v>
      </c>
      <c r="N28" s="111">
        <f t="shared" si="6"/>
        <v>-5113</v>
      </c>
      <c r="O28" s="111">
        <v>-5113</v>
      </c>
      <c r="P28" s="111">
        <v>8999</v>
      </c>
      <c r="Q28" s="111"/>
      <c r="R28" s="111"/>
      <c r="S28" s="111"/>
      <c r="T28" s="111"/>
    </row>
    <row r="29" spans="1:20">
      <c r="A29" s="116" t="s">
        <v>234</v>
      </c>
      <c r="B29" s="96" t="s">
        <v>186</v>
      </c>
      <c r="C29" s="111">
        <v>-32737</v>
      </c>
      <c r="D29" s="111">
        <v>67927</v>
      </c>
      <c r="E29" s="111">
        <v>3761</v>
      </c>
      <c r="F29" s="111">
        <v>5799</v>
      </c>
      <c r="G29" s="111">
        <v>73903.494748977653</v>
      </c>
      <c r="H29" s="111">
        <v>47548</v>
      </c>
      <c r="I29" s="111">
        <v>-19905</v>
      </c>
      <c r="J29" s="111">
        <v>-19341</v>
      </c>
      <c r="K29" s="111">
        <v>-5445</v>
      </c>
      <c r="L29" s="111">
        <f>-2455-K29</f>
        <v>2990</v>
      </c>
      <c r="M29" s="111">
        <f>-5443-K29-L29</f>
        <v>-2988</v>
      </c>
      <c r="N29" s="111">
        <f t="shared" si="6"/>
        <v>-7705</v>
      </c>
      <c r="O29" s="111">
        <v>-7705</v>
      </c>
      <c r="P29" s="111">
        <v>10708</v>
      </c>
      <c r="Q29" s="111"/>
      <c r="R29" s="111"/>
      <c r="S29" s="111"/>
      <c r="T29" s="111"/>
    </row>
    <row r="30" spans="1:20">
      <c r="A30" s="116" t="s">
        <v>321</v>
      </c>
      <c r="B30" s="96" t="s">
        <v>186</v>
      </c>
      <c r="C30" s="111">
        <v>0</v>
      </c>
      <c r="D30" s="111">
        <v>0</v>
      </c>
      <c r="E30" s="111">
        <v>0</v>
      </c>
      <c r="F30" s="111">
        <v>0</v>
      </c>
      <c r="G30" s="111">
        <v>0</v>
      </c>
      <c r="H30" s="111">
        <v>-6689</v>
      </c>
      <c r="I30" s="111">
        <v>-11997</v>
      </c>
      <c r="J30" s="111">
        <v>-5536</v>
      </c>
      <c r="K30" s="111">
        <v>0</v>
      </c>
      <c r="L30" s="111">
        <f>-7538+7171</f>
        <v>-367</v>
      </c>
      <c r="M30" s="111">
        <f>-25216-K30-L30</f>
        <v>-24849</v>
      </c>
      <c r="N30" s="111">
        <f t="shared" si="6"/>
        <v>-32792</v>
      </c>
      <c r="O30" s="111">
        <v>-32792</v>
      </c>
      <c r="P30" s="111">
        <v>0</v>
      </c>
      <c r="Q30" s="111"/>
      <c r="R30" s="111"/>
      <c r="S30" s="111"/>
      <c r="T30" s="111"/>
    </row>
    <row r="31" spans="1:20">
      <c r="A31" s="116" t="s">
        <v>235</v>
      </c>
      <c r="B31" s="96" t="s">
        <v>186</v>
      </c>
      <c r="C31" s="111">
        <v>2708</v>
      </c>
      <c r="D31" s="111">
        <v>-45457</v>
      </c>
      <c r="E31" s="111">
        <v>-9136</v>
      </c>
      <c r="F31" s="129">
        <v>7657</v>
      </c>
      <c r="G31" s="111">
        <v>-101133.72347539107</v>
      </c>
      <c r="H31" s="129">
        <v>-12103</v>
      </c>
      <c r="I31" s="129">
        <v>1292</v>
      </c>
      <c r="J31" s="111">
        <v>54465</v>
      </c>
      <c r="K31" s="111">
        <v>9481</v>
      </c>
      <c r="L31" s="111">
        <f>-9165-K31</f>
        <v>-18646</v>
      </c>
      <c r="M31" s="111">
        <f>-21674-L31-K31</f>
        <v>-12509</v>
      </c>
      <c r="N31" s="111">
        <f t="shared" si="6"/>
        <v>-48145</v>
      </c>
      <c r="O31" s="111">
        <v>-48145</v>
      </c>
      <c r="P31" s="111">
        <v>-4103</v>
      </c>
      <c r="Q31" s="111"/>
      <c r="R31" s="111"/>
      <c r="S31" s="111"/>
      <c r="T31" s="111"/>
    </row>
    <row r="32" spans="1:20">
      <c r="A32" s="148" t="s">
        <v>236</v>
      </c>
      <c r="B32" s="96" t="s">
        <v>186</v>
      </c>
      <c r="C32" s="111">
        <v>-52325</v>
      </c>
      <c r="D32" s="111">
        <v>-18678</v>
      </c>
      <c r="E32" s="111">
        <v>-735</v>
      </c>
      <c r="F32" s="111">
        <v>0</v>
      </c>
      <c r="G32" s="111">
        <v>-41820.522434027414</v>
      </c>
      <c r="H32" s="111">
        <v>-6390</v>
      </c>
      <c r="I32" s="111">
        <v>-6027</v>
      </c>
      <c r="J32" s="111">
        <v>-6429</v>
      </c>
      <c r="K32" s="111">
        <v>-1560</v>
      </c>
      <c r="L32" s="111">
        <f>-1560-K32</f>
        <v>0</v>
      </c>
      <c r="M32" s="111">
        <f>-39488-K32-L32</f>
        <v>-37928</v>
      </c>
      <c r="N32" s="111">
        <f t="shared" si="6"/>
        <v>-50432</v>
      </c>
      <c r="O32" s="111">
        <v>-50432</v>
      </c>
      <c r="P32" s="111">
        <v>-1996</v>
      </c>
      <c r="Q32" s="111"/>
      <c r="R32" s="111"/>
      <c r="S32" s="111"/>
      <c r="T32" s="111"/>
    </row>
    <row r="33" spans="1:20">
      <c r="A33" s="148" t="s">
        <v>327</v>
      </c>
      <c r="B33" s="96" t="s">
        <v>186</v>
      </c>
      <c r="C33" s="111">
        <v>0</v>
      </c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-7171</v>
      </c>
      <c r="L33" s="111">
        <v>0</v>
      </c>
      <c r="M33" s="111">
        <v>0</v>
      </c>
      <c r="N33" s="111">
        <v>0</v>
      </c>
      <c r="O33" s="111">
        <v>0</v>
      </c>
      <c r="P33" s="111">
        <v>-5632</v>
      </c>
      <c r="Q33" s="111"/>
      <c r="R33" s="111"/>
      <c r="S33" s="111"/>
      <c r="T33" s="111"/>
    </row>
    <row r="34" spans="1:20">
      <c r="A34" s="148" t="s">
        <v>237</v>
      </c>
      <c r="B34" s="96" t="s">
        <v>186</v>
      </c>
      <c r="C34" s="111">
        <v>-226499</v>
      </c>
      <c r="D34" s="111">
        <v>-340039</v>
      </c>
      <c r="E34" s="111">
        <v>-424419</v>
      </c>
      <c r="F34" s="111">
        <v>-482270</v>
      </c>
      <c r="G34" s="111">
        <v>-428641.74087847333</v>
      </c>
      <c r="H34" s="111">
        <v>-192321</v>
      </c>
      <c r="I34" s="111">
        <v>-168645</v>
      </c>
      <c r="J34" s="111">
        <v>-120188</v>
      </c>
      <c r="K34" s="111">
        <v>-4903</v>
      </c>
      <c r="L34" s="111">
        <f>-55923-K34</f>
        <v>-51020</v>
      </c>
      <c r="M34" s="111">
        <f>-56172-K34-L34</f>
        <v>-249</v>
      </c>
      <c r="N34" s="111">
        <f>O34</f>
        <v>-154226</v>
      </c>
      <c r="O34" s="111">
        <v>-154226</v>
      </c>
      <c r="P34" s="111">
        <v>-206</v>
      </c>
      <c r="Q34" s="111"/>
      <c r="R34" s="111"/>
      <c r="S34" s="111"/>
      <c r="T34" s="111"/>
    </row>
    <row r="35" spans="1:20">
      <c r="A35" s="104" t="s">
        <v>238</v>
      </c>
      <c r="B35" s="104" t="s">
        <v>186</v>
      </c>
      <c r="C35" s="120">
        <f>SUM(C7:C20,C32:C34)</f>
        <v>651404.2403071383</v>
      </c>
      <c r="D35" s="120">
        <f t="shared" ref="D35:J35" si="7">SUM(D7:D20,D32:D34)</f>
        <v>561956.43842214509</v>
      </c>
      <c r="E35" s="120">
        <f t="shared" si="7"/>
        <v>63509.487312542507</v>
      </c>
      <c r="F35" s="120">
        <f t="shared" si="7"/>
        <v>-295421.04074021935</v>
      </c>
      <c r="G35" s="120">
        <f t="shared" si="7"/>
        <v>-202995.35833877831</v>
      </c>
      <c r="H35" s="120">
        <f t="shared" si="7"/>
        <v>-219928.64010011801</v>
      </c>
      <c r="I35" s="120">
        <f>SUM(I7:I20,I32:I34)</f>
        <v>-63325.23479728552</v>
      </c>
      <c r="J35" s="120">
        <f t="shared" si="7"/>
        <v>634557.5432224595</v>
      </c>
      <c r="K35" s="120">
        <f t="shared" ref="K35" si="8">SUM(K7:K20,K32:K34)</f>
        <v>147595.99201159779</v>
      </c>
      <c r="L35" s="120">
        <f t="shared" ref="L35" si="9">SUM(L7:L20,L32:L34)</f>
        <v>58261.007988402213</v>
      </c>
      <c r="M35" s="120">
        <f t="shared" ref="M35" si="10">SUM(M7:M20,M32:M34)</f>
        <v>185087</v>
      </c>
      <c r="N35" s="120">
        <f t="shared" ref="N35" si="11">SUM(N7:N20,N32:N34)</f>
        <v>686052</v>
      </c>
      <c r="O35" s="120">
        <f>SUM(O7:O20,O32:O34)</f>
        <v>686052</v>
      </c>
      <c r="P35" s="120">
        <f t="shared" ref="P35:S35" si="12">SUM(P7:P20,P32:P34)</f>
        <v>47212</v>
      </c>
      <c r="Q35" s="120">
        <f t="shared" si="12"/>
        <v>0</v>
      </c>
      <c r="R35" s="120">
        <f t="shared" si="12"/>
        <v>0</v>
      </c>
      <c r="S35" s="120">
        <f t="shared" si="12"/>
        <v>0</v>
      </c>
      <c r="T35" s="120">
        <f>SUM(T7:T20,T32:T34)</f>
        <v>0</v>
      </c>
    </row>
    <row r="36" spans="1:20">
      <c r="A36" s="96" t="s">
        <v>239</v>
      </c>
      <c r="B36" s="96" t="s">
        <v>186</v>
      </c>
      <c r="C36" s="111">
        <v>-79159</v>
      </c>
      <c r="D36" s="111">
        <v>-68991</v>
      </c>
      <c r="E36" s="111">
        <v>171322</v>
      </c>
      <c r="F36" s="111">
        <v>-47224</v>
      </c>
      <c r="G36" s="111">
        <v>46402</v>
      </c>
      <c r="H36" s="111">
        <v>120748</v>
      </c>
      <c r="I36" s="111">
        <v>-1053</v>
      </c>
      <c r="J36" s="111">
        <v>456</v>
      </c>
      <c r="K36" s="111">
        <v>499</v>
      </c>
      <c r="L36" s="111">
        <f>-256-K36</f>
        <v>-755</v>
      </c>
      <c r="M36" s="111">
        <f>-903-K36-L36</f>
        <v>-647</v>
      </c>
      <c r="N36" s="111">
        <f t="shared" ref="N36:N57" si="13">O36</f>
        <v>142</v>
      </c>
      <c r="O36" s="111">
        <v>142</v>
      </c>
      <c r="P36" s="111">
        <v>-498</v>
      </c>
      <c r="Q36" s="111"/>
      <c r="R36" s="111"/>
      <c r="S36" s="111"/>
      <c r="T36" s="111"/>
    </row>
    <row r="37" spans="1:20">
      <c r="A37" s="96" t="s">
        <v>258</v>
      </c>
      <c r="B37" s="96" t="s">
        <v>186</v>
      </c>
      <c r="C37" s="111">
        <v>-562682</v>
      </c>
      <c r="D37" s="111">
        <v>-395741</v>
      </c>
      <c r="E37" s="111">
        <v>-144323</v>
      </c>
      <c r="F37" s="111">
        <v>-141738</v>
      </c>
      <c r="G37" s="111">
        <v>-136450.31838943914</v>
      </c>
      <c r="H37" s="111">
        <v>-166412</v>
      </c>
      <c r="I37" s="111">
        <v>-212387</v>
      </c>
      <c r="J37" s="111">
        <v>-200426</v>
      </c>
      <c r="K37" s="111">
        <v>-56638</v>
      </c>
      <c r="L37" s="111">
        <f>-130509-K37</f>
        <v>-73871</v>
      </c>
      <c r="M37" s="111">
        <f>-180009-K37-L37</f>
        <v>-49500</v>
      </c>
      <c r="N37" s="111">
        <f t="shared" si="13"/>
        <v>-249708</v>
      </c>
      <c r="O37" s="111">
        <v>-249708</v>
      </c>
      <c r="P37" s="111">
        <v>-16089</v>
      </c>
      <c r="Q37" s="111"/>
      <c r="R37" s="111"/>
      <c r="S37" s="111"/>
      <c r="T37" s="111"/>
    </row>
    <row r="38" spans="1:20">
      <c r="A38" s="96" t="s">
        <v>240</v>
      </c>
      <c r="B38" s="96" t="s">
        <v>186</v>
      </c>
      <c r="C38" s="111">
        <v>-11697</v>
      </c>
      <c r="D38" s="111">
        <v>-664</v>
      </c>
      <c r="E38" s="111">
        <v>-7450</v>
      </c>
      <c r="F38" s="111">
        <v>-945</v>
      </c>
      <c r="G38" s="111">
        <v>-21388.47566604516</v>
      </c>
      <c r="H38" s="111">
        <v>-13293</v>
      </c>
      <c r="I38" s="111">
        <v>-12360</v>
      </c>
      <c r="J38" s="111">
        <v>-12691</v>
      </c>
      <c r="K38" s="111">
        <v>-2473</v>
      </c>
      <c r="L38" s="111">
        <f>-11179-K38</f>
        <v>-8706</v>
      </c>
      <c r="M38" s="111">
        <f>-15796-L38-K38</f>
        <v>-4617</v>
      </c>
      <c r="N38" s="111">
        <f t="shared" si="13"/>
        <v>-28417</v>
      </c>
      <c r="O38" s="111">
        <v>-28417</v>
      </c>
      <c r="P38" s="111">
        <v>-5835</v>
      </c>
      <c r="Q38" s="111"/>
      <c r="R38" s="111"/>
      <c r="S38" s="111"/>
      <c r="T38" s="111"/>
    </row>
    <row r="39" spans="1:20">
      <c r="A39" s="122" t="s">
        <v>259</v>
      </c>
      <c r="B39" s="96" t="s">
        <v>186</v>
      </c>
      <c r="C39" s="111">
        <v>-7622</v>
      </c>
      <c r="D39" s="111">
        <v>-16210</v>
      </c>
      <c r="E39" s="111">
        <v>-432</v>
      </c>
      <c r="F39" s="111">
        <v>0</v>
      </c>
      <c r="G39" s="111">
        <v>-48782</v>
      </c>
      <c r="H39" s="111">
        <v>0</v>
      </c>
      <c r="I39" s="111">
        <v>0</v>
      </c>
      <c r="J39" s="111">
        <v>0</v>
      </c>
      <c r="K39" s="111">
        <v>0</v>
      </c>
      <c r="L39" s="111">
        <v>0</v>
      </c>
      <c r="M39" s="111"/>
      <c r="N39" s="111">
        <f t="shared" si="13"/>
        <v>0</v>
      </c>
      <c r="O39" s="111">
        <v>0</v>
      </c>
      <c r="P39" s="111">
        <v>0</v>
      </c>
      <c r="Q39" s="111"/>
      <c r="R39" s="111"/>
      <c r="S39" s="111"/>
      <c r="T39" s="111"/>
    </row>
    <row r="40" spans="1:20">
      <c r="A40" s="96" t="s">
        <v>241</v>
      </c>
      <c r="B40" s="96" t="s">
        <v>186</v>
      </c>
      <c r="C40" s="111">
        <v>10973</v>
      </c>
      <c r="D40" s="111">
        <v>17035</v>
      </c>
      <c r="E40" s="111">
        <v>114630</v>
      </c>
      <c r="F40" s="111">
        <v>18248</v>
      </c>
      <c r="G40" s="111">
        <v>5031.7962878911276</v>
      </c>
      <c r="H40" s="111">
        <v>5845</v>
      </c>
      <c r="I40" s="111">
        <v>13559</v>
      </c>
      <c r="J40" s="111">
        <v>12586</v>
      </c>
      <c r="K40" s="111">
        <v>2976</v>
      </c>
      <c r="L40" s="111">
        <f>31247-K40</f>
        <v>28271</v>
      </c>
      <c r="M40" s="111">
        <f>34926-L40-K40</f>
        <v>3679</v>
      </c>
      <c r="N40" s="111">
        <f t="shared" si="13"/>
        <v>42234</v>
      </c>
      <c r="O40" s="111">
        <v>42234</v>
      </c>
      <c r="P40" s="111">
        <v>6906</v>
      </c>
      <c r="Q40" s="111"/>
      <c r="R40" s="111"/>
      <c r="S40" s="111"/>
      <c r="T40" s="111"/>
    </row>
    <row r="41" spans="1:20">
      <c r="A41" s="96" t="s">
        <v>228</v>
      </c>
      <c r="B41" s="96" t="s">
        <v>186</v>
      </c>
      <c r="C41" s="111">
        <v>0</v>
      </c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111">
        <v>0</v>
      </c>
      <c r="M41" s="111">
        <v>-992622</v>
      </c>
      <c r="N41" s="111">
        <f t="shared" si="13"/>
        <v>-992622</v>
      </c>
      <c r="O41" s="111">
        <v>-992622</v>
      </c>
      <c r="P41" s="111">
        <v>-30945</v>
      </c>
      <c r="Q41" s="111"/>
      <c r="R41" s="111"/>
      <c r="S41" s="111"/>
      <c r="T41" s="111"/>
    </row>
    <row r="42" spans="1:20">
      <c r="A42" s="104" t="s">
        <v>242</v>
      </c>
      <c r="B42" s="104" t="s">
        <v>186</v>
      </c>
      <c r="C42" s="120">
        <f>SUM(C36:C41)</f>
        <v>-650187</v>
      </c>
      <c r="D42" s="120">
        <f t="shared" ref="D42:J42" si="14">SUM(D36:D41)</f>
        <v>-464571</v>
      </c>
      <c r="E42" s="120">
        <f t="shared" si="14"/>
        <v>133747</v>
      </c>
      <c r="F42" s="120">
        <f t="shared" si="14"/>
        <v>-171659</v>
      </c>
      <c r="G42" s="120">
        <f t="shared" si="14"/>
        <v>-155186.99776759316</v>
      </c>
      <c r="H42" s="120">
        <f t="shared" si="14"/>
        <v>-53112</v>
      </c>
      <c r="I42" s="120">
        <f t="shared" si="14"/>
        <v>-212241</v>
      </c>
      <c r="J42" s="120">
        <f t="shared" si="14"/>
        <v>-200075</v>
      </c>
      <c r="K42" s="120">
        <f t="shared" ref="K42" si="15">SUM(K36:K41)</f>
        <v>-55636</v>
      </c>
      <c r="L42" s="120">
        <f t="shared" ref="L42" si="16">SUM(L36:L41)</f>
        <v>-55061</v>
      </c>
      <c r="M42" s="120">
        <f t="shared" ref="M42" si="17">SUM(M36:M41)</f>
        <v>-1043707</v>
      </c>
      <c r="N42" s="120">
        <f t="shared" si="13"/>
        <v>-1228371</v>
      </c>
      <c r="O42" s="120">
        <f>SUM(O36:O41)</f>
        <v>-1228371</v>
      </c>
      <c r="P42" s="120">
        <f t="shared" ref="P42:R42" si="18">SUM(P36:P41)</f>
        <v>-46461</v>
      </c>
      <c r="Q42" s="120">
        <f t="shared" si="18"/>
        <v>0</v>
      </c>
      <c r="R42" s="120">
        <f t="shared" si="18"/>
        <v>0</v>
      </c>
      <c r="S42" s="120">
        <f>T42</f>
        <v>0</v>
      </c>
      <c r="T42" s="120">
        <f t="shared" ref="T42" si="19">SUM(T36:T41)</f>
        <v>0</v>
      </c>
    </row>
    <row r="43" spans="1:20">
      <c r="A43" s="96" t="s">
        <v>243</v>
      </c>
      <c r="B43" s="96" t="s">
        <v>186</v>
      </c>
      <c r="C43" s="111">
        <v>0</v>
      </c>
      <c r="D43" s="111">
        <v>1274</v>
      </c>
      <c r="E43" s="111">
        <v>0</v>
      </c>
      <c r="F43" s="111">
        <v>0</v>
      </c>
      <c r="G43" s="111">
        <v>12.309778354327136</v>
      </c>
      <c r="H43" s="111">
        <v>62629</v>
      </c>
      <c r="I43" s="111">
        <v>900000</v>
      </c>
      <c r="J43" s="111">
        <v>466</v>
      </c>
      <c r="K43" s="111">
        <v>0</v>
      </c>
      <c r="L43" s="111">
        <v>0</v>
      </c>
      <c r="M43" s="111"/>
      <c r="N43" s="111">
        <f t="shared" si="13"/>
        <v>0</v>
      </c>
      <c r="O43" s="111">
        <v>0</v>
      </c>
      <c r="P43" s="111">
        <v>0</v>
      </c>
      <c r="Q43" s="111"/>
      <c r="R43" s="111"/>
      <c r="S43" s="111"/>
      <c r="T43" s="111"/>
    </row>
    <row r="44" spans="1:20">
      <c r="A44" s="96" t="s">
        <v>261</v>
      </c>
      <c r="B44" s="96" t="s">
        <v>186</v>
      </c>
      <c r="C44" s="111">
        <v>1109456</v>
      </c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111">
        <v>0</v>
      </c>
      <c r="M44" s="111"/>
      <c r="N44" s="111">
        <f t="shared" si="13"/>
        <v>0</v>
      </c>
      <c r="O44" s="111">
        <v>0</v>
      </c>
      <c r="P44" s="111">
        <v>0</v>
      </c>
      <c r="Q44" s="111"/>
      <c r="R44" s="111"/>
      <c r="S44" s="111"/>
      <c r="T44" s="111"/>
    </row>
    <row r="45" spans="1:20">
      <c r="A45" s="96" t="s">
        <v>244</v>
      </c>
      <c r="B45" s="96" t="s">
        <v>186</v>
      </c>
      <c r="C45" s="111">
        <v>-167053</v>
      </c>
      <c r="D45" s="111">
        <v>-375849</v>
      </c>
      <c r="E45" s="111">
        <v>-178032</v>
      </c>
      <c r="F45" s="111">
        <v>-228456</v>
      </c>
      <c r="G45" s="111">
        <v>-595660.63465425314</v>
      </c>
      <c r="H45" s="111">
        <v>-354876</v>
      </c>
      <c r="I45" s="111">
        <v>-234323</v>
      </c>
      <c r="J45" s="111">
        <v>-1875498</v>
      </c>
      <c r="K45" s="111">
        <v>-3166</v>
      </c>
      <c r="L45" s="111">
        <f>-6123-K45</f>
        <v>-2957</v>
      </c>
      <c r="M45" s="111">
        <f>-8786-K45-L45</f>
        <v>-2663</v>
      </c>
      <c r="N45" s="111">
        <f t="shared" si="13"/>
        <v>-13854</v>
      </c>
      <c r="O45" s="111">
        <v>-13854</v>
      </c>
      <c r="P45" s="111">
        <v>-2664</v>
      </c>
      <c r="Q45" s="111"/>
      <c r="R45" s="111"/>
      <c r="S45" s="111"/>
      <c r="T45" s="111"/>
    </row>
    <row r="46" spans="1:20">
      <c r="A46" s="96" t="s">
        <v>245</v>
      </c>
      <c r="B46" s="96" t="s">
        <v>186</v>
      </c>
      <c r="C46" s="111">
        <v>0</v>
      </c>
      <c r="D46" s="111">
        <v>0</v>
      </c>
      <c r="E46" s="111">
        <v>78124</v>
      </c>
      <c r="F46" s="111">
        <v>266477</v>
      </c>
      <c r="G46" s="111">
        <v>290000</v>
      </c>
      <c r="H46" s="111">
        <v>49136</v>
      </c>
      <c r="I46" s="111">
        <v>0</v>
      </c>
      <c r="J46" s="111">
        <v>0</v>
      </c>
      <c r="K46" s="111">
        <v>0</v>
      </c>
      <c r="L46" s="111">
        <v>0</v>
      </c>
      <c r="M46" s="111"/>
      <c r="N46" s="111">
        <f t="shared" si="13"/>
        <v>0</v>
      </c>
      <c r="O46" s="111">
        <v>0</v>
      </c>
      <c r="P46" s="111">
        <v>0</v>
      </c>
      <c r="Q46" s="111"/>
      <c r="R46" s="111"/>
      <c r="S46" s="111"/>
      <c r="T46" s="111"/>
    </row>
    <row r="47" spans="1:20">
      <c r="A47" s="96" t="s">
        <v>260</v>
      </c>
      <c r="B47" s="96" t="s">
        <v>186</v>
      </c>
      <c r="C47" s="111">
        <v>0</v>
      </c>
      <c r="D47" s="111">
        <v>0</v>
      </c>
      <c r="E47" s="111">
        <v>0</v>
      </c>
      <c r="F47" s="111">
        <v>0</v>
      </c>
      <c r="G47" s="111">
        <v>371153</v>
      </c>
      <c r="H47" s="111">
        <v>550</v>
      </c>
      <c r="I47" s="111">
        <v>0</v>
      </c>
      <c r="J47" s="111">
        <v>0</v>
      </c>
      <c r="K47" s="111">
        <v>0</v>
      </c>
      <c r="L47" s="111">
        <v>0</v>
      </c>
      <c r="M47" s="111"/>
      <c r="N47" s="111">
        <f t="shared" si="13"/>
        <v>0</v>
      </c>
      <c r="O47" s="111">
        <v>0</v>
      </c>
      <c r="P47" s="111">
        <v>0</v>
      </c>
      <c r="Q47" s="111"/>
      <c r="R47" s="111"/>
      <c r="S47" s="111"/>
      <c r="T47" s="111"/>
    </row>
    <row r="48" spans="1:20">
      <c r="A48" s="96" t="s">
        <v>262</v>
      </c>
      <c r="B48" s="96" t="s">
        <v>186</v>
      </c>
      <c r="C48" s="111">
        <v>112529</v>
      </c>
      <c r="D48" s="111">
        <v>60495</v>
      </c>
      <c r="E48" s="111">
        <v>0</v>
      </c>
      <c r="F48" s="111">
        <v>189737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/>
      <c r="N48" s="111">
        <f t="shared" si="13"/>
        <v>0</v>
      </c>
      <c r="O48" s="111">
        <v>0</v>
      </c>
      <c r="P48" s="111">
        <v>0</v>
      </c>
      <c r="Q48" s="111"/>
      <c r="R48" s="111"/>
      <c r="S48" s="111"/>
      <c r="T48" s="111"/>
    </row>
    <row r="49" spans="1:20">
      <c r="A49" s="96" t="s">
        <v>246</v>
      </c>
      <c r="B49" s="96" t="s">
        <v>186</v>
      </c>
      <c r="C49" s="111">
        <v>68911</v>
      </c>
      <c r="D49" s="111">
        <v>17406</v>
      </c>
      <c r="E49" s="111">
        <v>703</v>
      </c>
      <c r="F49" s="111">
        <v>297597</v>
      </c>
      <c r="G49" s="111">
        <v>0</v>
      </c>
      <c r="H49" s="111">
        <v>0</v>
      </c>
      <c r="I49" s="111">
        <v>0</v>
      </c>
      <c r="J49" s="111">
        <v>1700161</v>
      </c>
      <c r="K49" s="111">
        <v>0</v>
      </c>
      <c r="L49" s="111">
        <v>0</v>
      </c>
      <c r="M49" s="111">
        <v>1000000</v>
      </c>
      <c r="N49" s="111">
        <f t="shared" si="13"/>
        <v>1000000</v>
      </c>
      <c r="O49" s="111">
        <v>1000000</v>
      </c>
      <c r="P49" s="111">
        <v>0</v>
      </c>
      <c r="Q49" s="111"/>
      <c r="R49" s="111"/>
      <c r="S49" s="111"/>
      <c r="T49" s="111"/>
    </row>
    <row r="50" spans="1:20">
      <c r="A50" s="96" t="s">
        <v>247</v>
      </c>
      <c r="B50" s="96" t="s">
        <v>186</v>
      </c>
      <c r="C50" s="111">
        <v>0</v>
      </c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-22536</v>
      </c>
      <c r="K50" s="111">
        <v>0</v>
      </c>
      <c r="L50" s="111">
        <v>0</v>
      </c>
      <c r="M50" s="111">
        <v>-9230</v>
      </c>
      <c r="N50" s="111">
        <f t="shared" si="13"/>
        <v>-9223</v>
      </c>
      <c r="O50" s="111">
        <v>-9223</v>
      </c>
      <c r="P50" s="111">
        <v>0</v>
      </c>
      <c r="Q50" s="111"/>
      <c r="R50" s="111"/>
      <c r="S50" s="111"/>
      <c r="T50" s="111"/>
    </row>
    <row r="51" spans="1:20">
      <c r="A51" s="96" t="s">
        <v>248</v>
      </c>
      <c r="B51" s="96" t="s">
        <v>186</v>
      </c>
      <c r="C51" s="111">
        <v>-563655</v>
      </c>
      <c r="D51" s="111">
        <v>-284440</v>
      </c>
      <c r="E51" s="111">
        <v>-156944</v>
      </c>
      <c r="F51" s="111">
        <v>-14290</v>
      </c>
      <c r="G51" s="111">
        <v>-51876.711559999996</v>
      </c>
      <c r="H51" s="111">
        <v>-82931</v>
      </c>
      <c r="I51" s="111">
        <v>-73908</v>
      </c>
      <c r="J51" s="111">
        <v>-67984</v>
      </c>
      <c r="K51" s="111">
        <v>0</v>
      </c>
      <c r="L51" s="111">
        <f>-38184-K51</f>
        <v>-38184</v>
      </c>
      <c r="M51" s="111">
        <f>-187953-K51-L51</f>
        <v>-149769</v>
      </c>
      <c r="N51" s="111">
        <f t="shared" si="13"/>
        <v>-202988</v>
      </c>
      <c r="O51" s="111">
        <v>-202988</v>
      </c>
      <c r="P51" s="111">
        <v>0</v>
      </c>
      <c r="Q51" s="111"/>
      <c r="R51" s="111"/>
      <c r="S51" s="111"/>
      <c r="T51" s="111"/>
    </row>
    <row r="52" spans="1:20">
      <c r="A52" s="148" t="s">
        <v>228</v>
      </c>
      <c r="B52" s="96" t="s">
        <v>186</v>
      </c>
      <c r="C52" s="111">
        <v>-127327</v>
      </c>
      <c r="D52" s="111">
        <v>216950</v>
      </c>
      <c r="E52" s="111">
        <v>-20212</v>
      </c>
      <c r="F52" s="111">
        <v>-308684</v>
      </c>
      <c r="G52" s="111">
        <v>-39205.727228669355</v>
      </c>
      <c r="H52" s="111">
        <v>560823</v>
      </c>
      <c r="I52" s="111">
        <v>-11324</v>
      </c>
      <c r="J52" s="111">
        <v>0</v>
      </c>
      <c r="K52" s="111">
        <v>-67255</v>
      </c>
      <c r="L52" s="111">
        <f>-67255-K52</f>
        <v>0</v>
      </c>
      <c r="M52" s="111">
        <f>-67255-K52-L52</f>
        <v>0</v>
      </c>
      <c r="N52" s="111">
        <f t="shared" si="13"/>
        <v>-67255</v>
      </c>
      <c r="O52" s="111">
        <v>-67255</v>
      </c>
      <c r="P52" s="111">
        <v>0</v>
      </c>
      <c r="Q52" s="111"/>
      <c r="R52" s="111"/>
      <c r="S52" s="111"/>
      <c r="T52" s="111"/>
    </row>
    <row r="53" spans="1:20">
      <c r="A53" s="96" t="s">
        <v>263</v>
      </c>
      <c r="B53" s="96" t="s">
        <v>186</v>
      </c>
      <c r="C53" s="111">
        <v>0</v>
      </c>
      <c r="D53" s="111">
        <v>0</v>
      </c>
      <c r="E53" s="111">
        <v>131146</v>
      </c>
      <c r="F53" s="111">
        <v>0</v>
      </c>
      <c r="G53" s="111">
        <v>0</v>
      </c>
      <c r="H53" s="111">
        <v>0</v>
      </c>
      <c r="I53" s="111">
        <v>0</v>
      </c>
      <c r="J53" s="111">
        <v>0</v>
      </c>
      <c r="K53" s="111">
        <v>0</v>
      </c>
      <c r="L53" s="111">
        <v>0</v>
      </c>
      <c r="M53" s="111"/>
      <c r="N53" s="111">
        <f t="shared" si="13"/>
        <v>0</v>
      </c>
      <c r="O53" s="111">
        <v>0</v>
      </c>
      <c r="P53" s="111">
        <v>0</v>
      </c>
      <c r="Q53" s="111"/>
      <c r="R53" s="111"/>
      <c r="S53" s="111"/>
      <c r="T53" s="111"/>
    </row>
    <row r="54" spans="1:20">
      <c r="A54" s="96" t="s">
        <v>264</v>
      </c>
      <c r="B54" s="96" t="s">
        <v>186</v>
      </c>
      <c r="C54" s="111">
        <v>0</v>
      </c>
      <c r="D54" s="111">
        <v>0</v>
      </c>
      <c r="E54" s="111">
        <v>240769</v>
      </c>
      <c r="F54" s="111">
        <v>0</v>
      </c>
      <c r="G54" s="111">
        <v>0</v>
      </c>
      <c r="H54" s="111">
        <v>0</v>
      </c>
      <c r="I54" s="111">
        <v>0</v>
      </c>
      <c r="J54" s="111">
        <v>0</v>
      </c>
      <c r="K54" s="111">
        <v>0</v>
      </c>
      <c r="L54" s="111">
        <v>0</v>
      </c>
      <c r="M54" s="111"/>
      <c r="N54" s="111">
        <f t="shared" si="13"/>
        <v>0</v>
      </c>
      <c r="O54" s="111">
        <v>0</v>
      </c>
      <c r="P54" s="111">
        <v>0</v>
      </c>
      <c r="Q54" s="111"/>
      <c r="R54" s="111"/>
      <c r="S54" s="111"/>
      <c r="T54" s="111"/>
    </row>
    <row r="55" spans="1:20">
      <c r="A55" s="96" t="s">
        <v>249</v>
      </c>
      <c r="B55" s="96" t="s">
        <v>186</v>
      </c>
      <c r="C55" s="111">
        <v>0</v>
      </c>
      <c r="D55" s="111">
        <v>0</v>
      </c>
      <c r="E55" s="111">
        <v>0</v>
      </c>
      <c r="F55" s="111">
        <v>0</v>
      </c>
      <c r="G55" s="111">
        <v>0</v>
      </c>
      <c r="H55" s="111">
        <v>0</v>
      </c>
      <c r="I55" s="111">
        <v>-106066</v>
      </c>
      <c r="J55" s="111">
        <v>-123877</v>
      </c>
      <c r="K55" s="111">
        <v>-33160</v>
      </c>
      <c r="L55" s="111">
        <f>-65737-K55</f>
        <v>-32577</v>
      </c>
      <c r="M55" s="111">
        <f>-98313-L55-K55</f>
        <v>-32576</v>
      </c>
      <c r="N55" s="111">
        <f t="shared" si="13"/>
        <v>-129644</v>
      </c>
      <c r="O55" s="111">
        <v>-129644</v>
      </c>
      <c r="P55" s="111">
        <v>-31260</v>
      </c>
      <c r="Q55" s="111"/>
      <c r="R55" s="111"/>
      <c r="S55" s="111"/>
      <c r="T55" s="111"/>
    </row>
    <row r="56" spans="1:20">
      <c r="A56" s="104" t="s">
        <v>250</v>
      </c>
      <c r="B56" s="104" t="s">
        <v>186</v>
      </c>
      <c r="C56" s="120">
        <f t="shared" ref="C56:D56" si="20">SUM(C43:C55)</f>
        <v>432861</v>
      </c>
      <c r="D56" s="120">
        <f t="shared" si="20"/>
        <v>-364164</v>
      </c>
      <c r="E56" s="120">
        <f t="shared" ref="E56" si="21">SUM(E43:E55)</f>
        <v>95554</v>
      </c>
      <c r="F56" s="120">
        <f t="shared" ref="F56:K56" si="22">SUM(F43:F55)</f>
        <v>202381</v>
      </c>
      <c r="G56" s="120">
        <f t="shared" si="22"/>
        <v>-25577.763664568127</v>
      </c>
      <c r="H56" s="120">
        <f t="shared" si="22"/>
        <v>235331</v>
      </c>
      <c r="I56" s="120">
        <f t="shared" si="22"/>
        <v>474379</v>
      </c>
      <c r="J56" s="120">
        <f t="shared" si="22"/>
        <v>-389268</v>
      </c>
      <c r="K56" s="120">
        <f t="shared" si="22"/>
        <v>-103581</v>
      </c>
      <c r="L56" s="120">
        <f t="shared" ref="L56:M56" si="23">SUM(L43:L55)</f>
        <v>-73718</v>
      </c>
      <c r="M56" s="120">
        <f t="shared" si="23"/>
        <v>805762</v>
      </c>
      <c r="N56" s="120">
        <f t="shared" si="13"/>
        <v>577036</v>
      </c>
      <c r="O56" s="120">
        <f>SUM(O43:O55)</f>
        <v>577036</v>
      </c>
      <c r="P56" s="120">
        <f t="shared" ref="P56:R56" si="24">SUM(P43:P55)</f>
        <v>-33924</v>
      </c>
      <c r="Q56" s="120">
        <f t="shared" si="24"/>
        <v>0</v>
      </c>
      <c r="R56" s="120">
        <f t="shared" si="24"/>
        <v>0</v>
      </c>
      <c r="S56" s="120">
        <f>T56</f>
        <v>0</v>
      </c>
      <c r="T56" s="120">
        <f t="shared" ref="T56" si="25">SUM(T43:T55)</f>
        <v>0</v>
      </c>
    </row>
    <row r="57" spans="1:20">
      <c r="A57" s="104" t="s">
        <v>251</v>
      </c>
      <c r="B57" s="96" t="s">
        <v>186</v>
      </c>
      <c r="C57" s="120">
        <f t="shared" ref="C57:K57" si="26">SUM(C56,C42,C35)</f>
        <v>434078.2403071383</v>
      </c>
      <c r="D57" s="120">
        <f t="shared" si="26"/>
        <v>-266778.56157785491</v>
      </c>
      <c r="E57" s="120">
        <f t="shared" si="26"/>
        <v>292810.48731254251</v>
      </c>
      <c r="F57" s="120">
        <f t="shared" si="26"/>
        <v>-264699.04074021935</v>
      </c>
      <c r="G57" s="120">
        <f t="shared" si="26"/>
        <v>-383760.11977093958</v>
      </c>
      <c r="H57" s="120">
        <f t="shared" si="26"/>
        <v>-37709.640100118006</v>
      </c>
      <c r="I57" s="120">
        <f t="shared" si="26"/>
        <v>198812.76520271448</v>
      </c>
      <c r="J57" s="120">
        <f t="shared" si="26"/>
        <v>45214.543222459499</v>
      </c>
      <c r="K57" s="120">
        <f t="shared" si="26"/>
        <v>-11621.007988402213</v>
      </c>
      <c r="L57" s="120">
        <f t="shared" ref="L57:M57" si="27">SUM(L56,L42,L35)</f>
        <v>-70517.992011597787</v>
      </c>
      <c r="M57" s="120">
        <f t="shared" si="27"/>
        <v>-52858</v>
      </c>
      <c r="N57" s="120">
        <f t="shared" si="13"/>
        <v>34717</v>
      </c>
      <c r="O57" s="120">
        <f>SUM(O56,O42,O35)</f>
        <v>34717</v>
      </c>
      <c r="P57" s="120">
        <f t="shared" ref="P57:R57" si="28">SUM(P56,P42,P35)</f>
        <v>-33173</v>
      </c>
      <c r="Q57" s="120">
        <f t="shared" si="28"/>
        <v>0</v>
      </c>
      <c r="R57" s="120">
        <f t="shared" si="28"/>
        <v>0</v>
      </c>
      <c r="S57" s="120">
        <f>T57</f>
        <v>0</v>
      </c>
      <c r="T57" s="120">
        <f t="shared" ref="T57" si="29">SUM(T56,T42,T35)</f>
        <v>0</v>
      </c>
    </row>
    <row r="58" spans="1:20">
      <c r="A58" s="96" t="s">
        <v>265</v>
      </c>
      <c r="B58" s="96" t="s">
        <v>186</v>
      </c>
      <c r="C58" s="111">
        <v>475783</v>
      </c>
      <c r="D58" s="111">
        <f t="shared" ref="D58:J58" si="30">C60</f>
        <v>909868.64030713832</v>
      </c>
      <c r="E58" s="111">
        <f t="shared" si="30"/>
        <v>643095.37872928346</v>
      </c>
      <c r="F58" s="123">
        <f t="shared" si="30"/>
        <v>935899.76604182599</v>
      </c>
      <c r="G58" s="111">
        <f t="shared" si="30"/>
        <v>609293.32530160656</v>
      </c>
      <c r="H58" s="123">
        <f t="shared" si="30"/>
        <v>210186.99172435037</v>
      </c>
      <c r="I58" s="111">
        <f t="shared" si="30"/>
        <v>181088.25162423236</v>
      </c>
      <c r="J58" s="111">
        <f t="shared" si="30"/>
        <v>379881.21682694688</v>
      </c>
      <c r="K58" s="111">
        <f>J60</f>
        <v>425096.1600494064</v>
      </c>
      <c r="L58" s="111">
        <f>K60</f>
        <v>413475.15206100419</v>
      </c>
      <c r="M58" s="111">
        <f>L60</f>
        <v>342957.1600494064</v>
      </c>
      <c r="N58" s="111">
        <f>M60</f>
        <v>290099.1600494064</v>
      </c>
      <c r="O58" s="111">
        <f>J60</f>
        <v>425096.1600494064</v>
      </c>
      <c r="P58" s="111">
        <f>O60</f>
        <v>459813.1600494064</v>
      </c>
      <c r="Q58" s="111">
        <f>P60</f>
        <v>426640.1600494064</v>
      </c>
      <c r="R58" s="111">
        <f>Q60</f>
        <v>426640.1600494064</v>
      </c>
      <c r="S58" s="111">
        <f>R60</f>
        <v>426640.1600494064</v>
      </c>
      <c r="T58" s="111">
        <f>O60</f>
        <v>459813.1600494064</v>
      </c>
    </row>
    <row r="59" spans="1:20">
      <c r="A59" s="96" t="s">
        <v>252</v>
      </c>
      <c r="B59" s="96" t="s">
        <v>186</v>
      </c>
      <c r="C59" s="111">
        <v>7.4</v>
      </c>
      <c r="D59" s="111">
        <v>5.3</v>
      </c>
      <c r="E59" s="111">
        <v>-6.1</v>
      </c>
      <c r="F59" s="111">
        <v>-61907.4</v>
      </c>
      <c r="G59" s="111">
        <f>-16346.9138063166+1000.7</f>
        <v>-15346.213806316598</v>
      </c>
      <c r="H59" s="111">
        <v>8610.9</v>
      </c>
      <c r="I59" s="111">
        <v>-19.8</v>
      </c>
      <c r="J59" s="111">
        <v>0.4</v>
      </c>
      <c r="K59" s="111">
        <v>0</v>
      </c>
      <c r="L59" s="111">
        <v>0</v>
      </c>
      <c r="M59" s="111">
        <v>0</v>
      </c>
      <c r="N59" s="111">
        <f>O59</f>
        <v>0</v>
      </c>
      <c r="O59" s="111">
        <v>0</v>
      </c>
      <c r="P59" s="111">
        <v>0</v>
      </c>
      <c r="Q59" s="111"/>
      <c r="R59" s="111"/>
      <c r="S59" s="111"/>
      <c r="T59" s="111"/>
    </row>
    <row r="60" spans="1:20">
      <c r="A60" s="104" t="s">
        <v>266</v>
      </c>
      <c r="B60" s="104" t="s">
        <v>186</v>
      </c>
      <c r="C60" s="120">
        <f t="shared" ref="C60:D60" si="31">SUM(C57:C59)</f>
        <v>909868.64030713832</v>
      </c>
      <c r="D60" s="120">
        <f t="shared" si="31"/>
        <v>643095.37872928346</v>
      </c>
      <c r="E60" s="120">
        <f t="shared" ref="E60:K60" si="32">SUM(E57:E59)</f>
        <v>935899.76604182599</v>
      </c>
      <c r="F60" s="120">
        <f t="shared" si="32"/>
        <v>609293.32530160656</v>
      </c>
      <c r="G60" s="120">
        <f t="shared" si="32"/>
        <v>210186.99172435037</v>
      </c>
      <c r="H60" s="120">
        <f t="shared" si="32"/>
        <v>181088.25162423236</v>
      </c>
      <c r="I60" s="120">
        <f t="shared" si="32"/>
        <v>379881.21682694688</v>
      </c>
      <c r="J60" s="130">
        <f t="shared" si="32"/>
        <v>425096.1600494064</v>
      </c>
      <c r="K60" s="130">
        <f t="shared" si="32"/>
        <v>413475.15206100419</v>
      </c>
      <c r="L60" s="130">
        <f t="shared" ref="L60:M60" si="33">SUM(L57:L59)</f>
        <v>342957.1600494064</v>
      </c>
      <c r="M60" s="130">
        <f t="shared" si="33"/>
        <v>290099.1600494064</v>
      </c>
      <c r="N60" s="130">
        <f>O60</f>
        <v>459813.1600494064</v>
      </c>
      <c r="O60" s="130">
        <f>SUM(O57:O59)</f>
        <v>459813.1600494064</v>
      </c>
      <c r="P60" s="130">
        <f t="shared" ref="P60:R60" si="34">SUM(P57:P59)</f>
        <v>426640.1600494064</v>
      </c>
      <c r="Q60" s="130">
        <f t="shared" si="34"/>
        <v>426640.1600494064</v>
      </c>
      <c r="R60" s="130">
        <f t="shared" si="34"/>
        <v>426640.1600494064</v>
      </c>
      <c r="S60" s="130">
        <f>T60</f>
        <v>459813.1600494064</v>
      </c>
      <c r="T60" s="130">
        <f t="shared" ref="T60" si="35">SUM(T57:T59)</f>
        <v>459813.1600494064</v>
      </c>
    </row>
    <row r="61" spans="1:20" ht="13.5" customHeight="1">
      <c r="A61" s="104"/>
      <c r="B61" s="104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</row>
    <row r="62" spans="1:20">
      <c r="A62" s="96"/>
      <c r="B62" s="96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</row>
    <row r="63" spans="1:20">
      <c r="A63" s="142" t="s">
        <v>267</v>
      </c>
      <c r="B63" s="146"/>
      <c r="C63" s="146"/>
      <c r="D63" s="146"/>
      <c r="E63" s="146"/>
      <c r="F63" s="146"/>
      <c r="G63" s="147"/>
      <c r="H63" s="147"/>
      <c r="I63" s="147"/>
      <c r="J63" s="147"/>
      <c r="K63" s="147">
        <f t="shared" ref="K63:N63" si="36">K64-K94</f>
        <v>0</v>
      </c>
      <c r="L63" s="147">
        <f t="shared" si="36"/>
        <v>0</v>
      </c>
      <c r="M63" s="147">
        <f t="shared" si="36"/>
        <v>0</v>
      </c>
      <c r="N63" s="147">
        <f t="shared" si="36"/>
        <v>0</v>
      </c>
      <c r="O63" s="147"/>
      <c r="P63" s="102">
        <f t="shared" ref="P63:S63" si="37">P64-P94</f>
        <v>0</v>
      </c>
      <c r="Q63" s="102">
        <f t="shared" si="37"/>
        <v>0</v>
      </c>
      <c r="R63" s="102">
        <f t="shared" si="37"/>
        <v>0</v>
      </c>
      <c r="S63" s="102">
        <f t="shared" si="37"/>
        <v>0</v>
      </c>
      <c r="T63" s="102"/>
    </row>
    <row r="64" spans="1:20">
      <c r="A64" s="104" t="s">
        <v>268</v>
      </c>
      <c r="B64" s="104" t="s">
        <v>186</v>
      </c>
      <c r="C64" s="120">
        <f t="shared" ref="C64:K64" si="38">C65+C74</f>
        <v>7165523.0430479581</v>
      </c>
      <c r="D64" s="120">
        <f t="shared" si="38"/>
        <v>7253363.5799474679</v>
      </c>
      <c r="E64" s="120">
        <f t="shared" si="38"/>
        <v>7327383.3984603658</v>
      </c>
      <c r="F64" s="120">
        <f t="shared" si="38"/>
        <v>6771543.9056463996</v>
      </c>
      <c r="G64" s="120">
        <f t="shared" si="38"/>
        <v>3852690</v>
      </c>
      <c r="H64" s="120">
        <f t="shared" si="38"/>
        <v>3746565</v>
      </c>
      <c r="I64" s="120">
        <f t="shared" si="38"/>
        <v>3928438</v>
      </c>
      <c r="J64" s="120">
        <f t="shared" si="38"/>
        <v>3889785</v>
      </c>
      <c r="K64" s="120">
        <f t="shared" si="38"/>
        <v>3931137</v>
      </c>
      <c r="L64" s="120">
        <f t="shared" ref="L64:M64" si="39">L65+L74</f>
        <v>4076741</v>
      </c>
      <c r="M64" s="120">
        <f t="shared" si="39"/>
        <v>4924596</v>
      </c>
      <c r="N64" s="120">
        <f t="shared" ref="N64:N95" si="40">O64</f>
        <v>4816696</v>
      </c>
      <c r="O64" s="120">
        <f>O65+O74</f>
        <v>4816696</v>
      </c>
      <c r="P64" s="120">
        <f t="shared" ref="P64:R64" si="41">P65+P74</f>
        <v>4862860</v>
      </c>
      <c r="Q64" s="120">
        <f t="shared" si="41"/>
        <v>0</v>
      </c>
      <c r="R64" s="120">
        <f t="shared" si="41"/>
        <v>0</v>
      </c>
      <c r="S64" s="120">
        <f>T64</f>
        <v>0</v>
      </c>
      <c r="T64" s="120">
        <f t="shared" ref="T64" si="42">T65+T74</f>
        <v>0</v>
      </c>
    </row>
    <row r="65" spans="1:20">
      <c r="A65" s="116" t="s">
        <v>269</v>
      </c>
      <c r="B65" s="96" t="s">
        <v>186</v>
      </c>
      <c r="C65" s="111">
        <f t="shared" ref="C65:K65" si="43">SUM(C66:C73)</f>
        <v>2060917.5658134671</v>
      </c>
      <c r="D65" s="111">
        <f t="shared" si="43"/>
        <v>1968769.4080992318</v>
      </c>
      <c r="E65" s="111">
        <f t="shared" si="43"/>
        <v>2031762.0481461012</v>
      </c>
      <c r="F65" s="111">
        <f t="shared" si="43"/>
        <v>1552642.2068122998</v>
      </c>
      <c r="G65" s="111">
        <f t="shared" si="43"/>
        <v>874580</v>
      </c>
      <c r="H65" s="111">
        <f t="shared" si="43"/>
        <v>737172</v>
      </c>
      <c r="I65" s="111">
        <f t="shared" si="43"/>
        <v>841185</v>
      </c>
      <c r="J65" s="111">
        <f t="shared" si="43"/>
        <v>1000710</v>
      </c>
      <c r="K65" s="111">
        <f t="shared" si="43"/>
        <v>1073044</v>
      </c>
      <c r="L65" s="111">
        <f t="shared" ref="L65:M65" si="44">SUM(L66:L73)</f>
        <v>1154779</v>
      </c>
      <c r="M65" s="111">
        <f t="shared" si="44"/>
        <v>2120934</v>
      </c>
      <c r="N65" s="111">
        <f t="shared" si="40"/>
        <v>1237482</v>
      </c>
      <c r="O65" s="111">
        <f>SUM(O66:O73)</f>
        <v>1237482</v>
      </c>
      <c r="P65" s="111">
        <f t="shared" ref="P65:R65" si="45">SUM(P66:P73)</f>
        <v>1318471</v>
      </c>
      <c r="Q65" s="111">
        <f t="shared" si="45"/>
        <v>0</v>
      </c>
      <c r="R65" s="111">
        <f t="shared" si="45"/>
        <v>0</v>
      </c>
      <c r="S65" s="111">
        <f>T65</f>
        <v>0</v>
      </c>
      <c r="T65" s="111">
        <f t="shared" ref="T65" si="46">SUM(T66:T73)</f>
        <v>0</v>
      </c>
    </row>
    <row r="66" spans="1:20">
      <c r="A66" s="131" t="s">
        <v>276</v>
      </c>
      <c r="B66" s="96" t="s">
        <v>186</v>
      </c>
      <c r="C66" s="111">
        <v>909868.60808338772</v>
      </c>
      <c r="D66" s="111">
        <v>643095.42779485136</v>
      </c>
      <c r="E66" s="111">
        <v>935899.80056478875</v>
      </c>
      <c r="F66" s="111">
        <v>609293.30954313814</v>
      </c>
      <c r="G66" s="111">
        <v>210187</v>
      </c>
      <c r="H66" s="111">
        <v>181088</v>
      </c>
      <c r="I66" s="111">
        <v>379881</v>
      </c>
      <c r="J66" s="111">
        <v>425096</v>
      </c>
      <c r="K66" s="111">
        <v>413475</v>
      </c>
      <c r="L66" s="111">
        <v>342957</v>
      </c>
      <c r="M66" s="111">
        <v>297270</v>
      </c>
      <c r="N66" s="111">
        <f t="shared" si="40"/>
        <v>459813</v>
      </c>
      <c r="O66" s="111">
        <v>459813</v>
      </c>
      <c r="P66" s="111">
        <v>426640</v>
      </c>
      <c r="Q66" s="111"/>
      <c r="R66" s="111"/>
      <c r="S66" s="111"/>
      <c r="T66" s="111"/>
    </row>
    <row r="67" spans="1:20">
      <c r="A67" s="131" t="s">
        <v>277</v>
      </c>
      <c r="B67" s="96" t="s">
        <v>186</v>
      </c>
      <c r="C67" s="111">
        <v>146013.71348694732</v>
      </c>
      <c r="D67" s="111">
        <v>236868.90965346384</v>
      </c>
      <c r="E67" s="111">
        <v>72433.878373936313</v>
      </c>
      <c r="F67" s="111">
        <v>146535.09750066185</v>
      </c>
      <c r="G67" s="111">
        <v>118562</v>
      </c>
      <c r="H67" s="111">
        <v>0</v>
      </c>
      <c r="I67" s="111">
        <v>1000</v>
      </c>
      <c r="J67" s="111">
        <v>0</v>
      </c>
      <c r="K67" s="111">
        <v>0</v>
      </c>
      <c r="L67" s="111">
        <v>0</v>
      </c>
      <c r="M67" s="111">
        <v>0</v>
      </c>
      <c r="N67" s="111">
        <f t="shared" si="40"/>
        <v>0</v>
      </c>
      <c r="O67" s="111">
        <v>0</v>
      </c>
      <c r="P67" s="111">
        <v>0</v>
      </c>
      <c r="Q67" s="111"/>
      <c r="R67" s="111"/>
      <c r="S67" s="111"/>
      <c r="T67" s="111"/>
    </row>
    <row r="68" spans="1:20">
      <c r="A68" s="131" t="s">
        <v>307</v>
      </c>
      <c r="B68" s="96" t="s">
        <v>186</v>
      </c>
      <c r="C68" s="111">
        <v>254052.39768559998</v>
      </c>
      <c r="D68" s="111">
        <v>173017.60495649997</v>
      </c>
      <c r="E68" s="111">
        <v>131186.87868309993</v>
      </c>
      <c r="F68" s="111">
        <v>137837.1101198</v>
      </c>
      <c r="G68" s="111">
        <v>35594</v>
      </c>
      <c r="H68" s="111">
        <v>39654</v>
      </c>
      <c r="I68" s="111">
        <v>43631</v>
      </c>
      <c r="J68" s="111">
        <v>156420</v>
      </c>
      <c r="K68" s="111">
        <v>199875</v>
      </c>
      <c r="L68" s="111">
        <v>225894</v>
      </c>
      <c r="M68" s="111">
        <v>231324</v>
      </c>
      <c r="N68" s="111">
        <f t="shared" si="40"/>
        <v>172848</v>
      </c>
      <c r="O68" s="111">
        <v>172848</v>
      </c>
      <c r="P68" s="111">
        <v>231868</v>
      </c>
      <c r="Q68" s="111"/>
      <c r="R68" s="111"/>
      <c r="S68" s="111"/>
      <c r="T68" s="111"/>
    </row>
    <row r="69" spans="1:20">
      <c r="A69" s="131" t="s">
        <v>231</v>
      </c>
      <c r="B69" s="96" t="s">
        <v>186</v>
      </c>
      <c r="C69" s="111">
        <v>0</v>
      </c>
      <c r="D69" s="111">
        <v>0</v>
      </c>
      <c r="E69" s="111">
        <v>0</v>
      </c>
      <c r="F69" s="111">
        <v>0</v>
      </c>
      <c r="G69" s="111">
        <v>0</v>
      </c>
      <c r="H69" s="111">
        <v>0</v>
      </c>
      <c r="I69" s="111">
        <v>0</v>
      </c>
      <c r="J69" s="111">
        <v>0</v>
      </c>
      <c r="K69" s="111">
        <v>37624</v>
      </c>
      <c r="L69" s="111">
        <v>70419</v>
      </c>
      <c r="M69" s="111">
        <v>56394</v>
      </c>
      <c r="N69" s="111">
        <f t="shared" si="40"/>
        <v>0</v>
      </c>
      <c r="O69" s="111">
        <v>0</v>
      </c>
      <c r="P69" s="111">
        <v>0</v>
      </c>
      <c r="Q69" s="111"/>
      <c r="R69" s="111"/>
      <c r="S69" s="111"/>
      <c r="T69" s="111"/>
    </row>
    <row r="70" spans="1:20">
      <c r="A70" s="131" t="s">
        <v>230</v>
      </c>
      <c r="B70" s="96" t="s">
        <v>186</v>
      </c>
      <c r="C70" s="111">
        <v>510397.37716000003</v>
      </c>
      <c r="D70" s="111">
        <v>596646.50411006715</v>
      </c>
      <c r="E70" s="111">
        <v>594802.26384999999</v>
      </c>
      <c r="F70" s="111">
        <v>510427.52122000005</v>
      </c>
      <c r="G70" s="111">
        <v>419546</v>
      </c>
      <c r="H70" s="111">
        <v>389348</v>
      </c>
      <c r="I70" s="111">
        <v>301545</v>
      </c>
      <c r="J70" s="111">
        <v>341249</v>
      </c>
      <c r="K70" s="111">
        <v>373768</v>
      </c>
      <c r="L70" s="111">
        <v>424413</v>
      </c>
      <c r="M70" s="111">
        <v>443422</v>
      </c>
      <c r="N70" s="111">
        <f t="shared" si="40"/>
        <v>355935</v>
      </c>
      <c r="O70" s="111">
        <v>355935</v>
      </c>
      <c r="P70" s="111">
        <v>346266</v>
      </c>
      <c r="Q70" s="111"/>
      <c r="R70" s="111"/>
      <c r="S70" s="111"/>
      <c r="T70" s="111"/>
    </row>
    <row r="71" spans="1:20">
      <c r="A71" s="131" t="s">
        <v>222</v>
      </c>
      <c r="B71" s="96" t="s">
        <v>186</v>
      </c>
      <c r="C71" s="111">
        <v>142833.06041135275</v>
      </c>
      <c r="D71" s="111">
        <v>151540.4104565267</v>
      </c>
      <c r="E71" s="111">
        <v>140831.84661172639</v>
      </c>
      <c r="F71" s="111">
        <v>61609.101271499989</v>
      </c>
      <c r="G71" s="111">
        <v>57382</v>
      </c>
      <c r="H71" s="111">
        <v>62415</v>
      </c>
      <c r="I71" s="111">
        <v>75152</v>
      </c>
      <c r="J71" s="111">
        <v>40265</v>
      </c>
      <c r="K71" s="111">
        <v>48302</v>
      </c>
      <c r="L71" s="111">
        <v>66945</v>
      </c>
      <c r="M71" s="111">
        <v>73865</v>
      </c>
      <c r="N71" s="111">
        <f t="shared" si="40"/>
        <v>69952</v>
      </c>
      <c r="O71" s="111">
        <v>69952</v>
      </c>
      <c r="P71" s="111">
        <v>78483</v>
      </c>
      <c r="Q71" s="111"/>
      <c r="R71" s="111"/>
      <c r="S71" s="111"/>
      <c r="T71" s="111"/>
    </row>
    <row r="72" spans="1:20">
      <c r="A72" s="131" t="s">
        <v>278</v>
      </c>
      <c r="B72" s="96" t="s">
        <v>186</v>
      </c>
      <c r="C72" s="111">
        <v>34398.244012203999</v>
      </c>
      <c r="D72" s="111">
        <v>14114.441680000014</v>
      </c>
      <c r="E72" s="111">
        <v>82054.457430000024</v>
      </c>
      <c r="F72" s="111">
        <v>49799.372697999999</v>
      </c>
      <c r="G72" s="111">
        <v>0</v>
      </c>
      <c r="H72" s="111">
        <v>0</v>
      </c>
      <c r="I72" s="111">
        <v>0</v>
      </c>
      <c r="J72" s="111">
        <v>0</v>
      </c>
      <c r="K72" s="111">
        <v>0</v>
      </c>
      <c r="L72" s="111">
        <v>24151</v>
      </c>
      <c r="M72" s="111">
        <v>1018659</v>
      </c>
      <c r="N72" s="111">
        <f t="shared" si="40"/>
        <v>150754</v>
      </c>
      <c r="O72" s="111">
        <v>150754</v>
      </c>
      <c r="P72" s="111">
        <v>193045</v>
      </c>
      <c r="Q72" s="111"/>
      <c r="R72" s="111"/>
      <c r="S72" s="111"/>
      <c r="T72" s="111"/>
    </row>
    <row r="73" spans="1:20">
      <c r="A73" s="131" t="s">
        <v>231</v>
      </c>
      <c r="B73" s="96" t="s">
        <v>186</v>
      </c>
      <c r="C73" s="111">
        <v>63354.164973975421</v>
      </c>
      <c r="D73" s="111">
        <v>153486.10944782256</v>
      </c>
      <c r="E73" s="111">
        <v>74552.922632549773</v>
      </c>
      <c r="F73" s="111">
        <f>37140.6944592</f>
        <v>37140.6944592</v>
      </c>
      <c r="G73" s="111">
        <v>33309</v>
      </c>
      <c r="H73" s="111">
        <v>64667</v>
      </c>
      <c r="I73" s="111">
        <v>39976</v>
      </c>
      <c r="J73" s="111">
        <v>37680</v>
      </c>
      <c r="K73" s="111">
        <v>0</v>
      </c>
      <c r="L73" s="111">
        <v>0</v>
      </c>
      <c r="M73" s="111">
        <v>0</v>
      </c>
      <c r="N73" s="111">
        <f t="shared" si="40"/>
        <v>28180</v>
      </c>
      <c r="O73" s="111">
        <v>28180</v>
      </c>
      <c r="P73" s="111">
        <v>42169</v>
      </c>
      <c r="Q73" s="111"/>
      <c r="R73" s="111"/>
      <c r="S73" s="111"/>
      <c r="T73" s="111"/>
    </row>
    <row r="74" spans="1:20">
      <c r="A74" s="116" t="s">
        <v>279</v>
      </c>
      <c r="B74" s="96" t="s">
        <v>186</v>
      </c>
      <c r="C74" s="111">
        <f t="shared" ref="C74:K74" si="47">SUM(C75:C93)</f>
        <v>5104605.4772344911</v>
      </c>
      <c r="D74" s="111">
        <f t="shared" si="47"/>
        <v>5284594.1718482366</v>
      </c>
      <c r="E74" s="111">
        <f t="shared" si="47"/>
        <v>5295621.3503142651</v>
      </c>
      <c r="F74" s="111">
        <f t="shared" si="47"/>
        <v>5218901.6988340998</v>
      </c>
      <c r="G74" s="111">
        <f t="shared" si="47"/>
        <v>2978110</v>
      </c>
      <c r="H74" s="111">
        <f t="shared" si="47"/>
        <v>3009393</v>
      </c>
      <c r="I74" s="111">
        <f t="shared" si="47"/>
        <v>3087253</v>
      </c>
      <c r="J74" s="111">
        <f t="shared" si="47"/>
        <v>2889075</v>
      </c>
      <c r="K74" s="111">
        <f t="shared" si="47"/>
        <v>2858093</v>
      </c>
      <c r="L74" s="111">
        <f t="shared" ref="L74:M74" si="48">SUM(L75:L93)</f>
        <v>2921962</v>
      </c>
      <c r="M74" s="111">
        <f t="shared" si="48"/>
        <v>2803662</v>
      </c>
      <c r="N74" s="111">
        <f t="shared" si="40"/>
        <v>3579214</v>
      </c>
      <c r="O74" s="111">
        <f t="shared" ref="O74:R74" si="49">SUM(O75:O93)</f>
        <v>3579214</v>
      </c>
      <c r="P74" s="111">
        <f t="shared" si="49"/>
        <v>3544389</v>
      </c>
      <c r="Q74" s="111">
        <f t="shared" si="49"/>
        <v>0</v>
      </c>
      <c r="R74" s="111">
        <f t="shared" si="49"/>
        <v>0</v>
      </c>
      <c r="S74" s="111">
        <f>T74</f>
        <v>0</v>
      </c>
      <c r="T74" s="111">
        <f t="shared" ref="T74" si="50">SUM(T75:T93)</f>
        <v>0</v>
      </c>
    </row>
    <row r="75" spans="1:20">
      <c r="A75" s="131" t="s">
        <v>277</v>
      </c>
      <c r="B75" s="96" t="s">
        <v>186</v>
      </c>
      <c r="C75" s="111">
        <v>15786.7557593</v>
      </c>
      <c r="D75" s="111">
        <v>8273.7105173</v>
      </c>
      <c r="E75" s="111">
        <v>10035.507325999999</v>
      </c>
      <c r="F75" s="111">
        <v>10069.014626</v>
      </c>
      <c r="G75" s="111">
        <v>8151</v>
      </c>
      <c r="H75" s="111">
        <v>5935</v>
      </c>
      <c r="I75" s="111">
        <v>5753</v>
      </c>
      <c r="J75" s="111">
        <v>6298</v>
      </c>
      <c r="K75" s="111">
        <v>5799</v>
      </c>
      <c r="L75" s="111">
        <v>6554</v>
      </c>
      <c r="M75" s="111">
        <v>7201</v>
      </c>
      <c r="N75" s="111">
        <f t="shared" si="40"/>
        <v>6156</v>
      </c>
      <c r="O75" s="111">
        <v>6156</v>
      </c>
      <c r="P75" s="111">
        <v>6654</v>
      </c>
      <c r="Q75" s="111"/>
      <c r="R75" s="111"/>
      <c r="S75" s="111"/>
      <c r="T75" s="111"/>
    </row>
    <row r="76" spans="1:20">
      <c r="A76" s="131" t="s">
        <v>307</v>
      </c>
      <c r="B76" s="96" t="s">
        <v>186</v>
      </c>
      <c r="C76" s="111">
        <v>552.60017999999968</v>
      </c>
      <c r="D76" s="111">
        <v>342.40953000000025</v>
      </c>
      <c r="E76" s="111">
        <v>5234.2104400000007</v>
      </c>
      <c r="F76" s="111">
        <v>4723.7489699999996</v>
      </c>
      <c r="G76" s="111">
        <v>4155</v>
      </c>
      <c r="H76" s="111">
        <v>2890</v>
      </c>
      <c r="I76" s="111">
        <v>1877</v>
      </c>
      <c r="J76" s="111">
        <v>3635</v>
      </c>
      <c r="K76" s="111">
        <v>3486</v>
      </c>
      <c r="L76" s="111">
        <v>3034</v>
      </c>
      <c r="M76" s="111">
        <v>2357</v>
      </c>
      <c r="N76" s="111">
        <f t="shared" si="40"/>
        <v>2076</v>
      </c>
      <c r="O76" s="111">
        <v>2076</v>
      </c>
      <c r="P76" s="111">
        <v>1862</v>
      </c>
      <c r="Q76" s="111"/>
      <c r="R76" s="111"/>
      <c r="S76" s="111"/>
      <c r="T76" s="111"/>
    </row>
    <row r="77" spans="1:20">
      <c r="A77" s="131" t="s">
        <v>231</v>
      </c>
      <c r="B77" s="96" t="s">
        <v>186</v>
      </c>
      <c r="C77" s="111">
        <v>0</v>
      </c>
      <c r="D77" s="111">
        <v>0</v>
      </c>
      <c r="E77" s="111">
        <v>0</v>
      </c>
      <c r="F77" s="111">
        <v>0</v>
      </c>
      <c r="G77" s="111">
        <v>0</v>
      </c>
      <c r="H77" s="111">
        <v>0</v>
      </c>
      <c r="I77" s="111">
        <v>0</v>
      </c>
      <c r="J77" s="111">
        <v>0</v>
      </c>
      <c r="K77" s="111">
        <v>33891</v>
      </c>
      <c r="L77" s="111">
        <v>31372</v>
      </c>
      <c r="M77" s="111">
        <v>0</v>
      </c>
      <c r="N77" s="111">
        <f t="shared" si="40"/>
        <v>0</v>
      </c>
      <c r="O77" s="111">
        <v>0</v>
      </c>
      <c r="P77" s="111"/>
      <c r="Q77" s="111"/>
      <c r="R77" s="111"/>
      <c r="S77" s="111"/>
      <c r="T77" s="111"/>
    </row>
    <row r="78" spans="1:20">
      <c r="A78" s="131" t="s">
        <v>278</v>
      </c>
      <c r="B78" s="96" t="s">
        <v>186</v>
      </c>
      <c r="C78" s="111">
        <v>105808.28265586362</v>
      </c>
      <c r="D78" s="111">
        <v>15688.023285769181</v>
      </c>
      <c r="E78" s="111">
        <v>23826.50753639418</v>
      </c>
      <c r="F78" s="111">
        <f>319732.65306</f>
        <v>319732.65305999998</v>
      </c>
      <c r="G78" s="111">
        <v>5950</v>
      </c>
      <c r="H78" s="111">
        <v>4400</v>
      </c>
      <c r="I78" s="111">
        <v>26200</v>
      </c>
      <c r="J78" s="111">
        <v>25200</v>
      </c>
      <c r="K78" s="111">
        <v>24950</v>
      </c>
      <c r="L78" s="111">
        <v>24700</v>
      </c>
      <c r="M78" s="111">
        <v>24450</v>
      </c>
      <c r="N78" s="111">
        <f t="shared" si="40"/>
        <v>32664</v>
      </c>
      <c r="O78" s="111">
        <v>32664</v>
      </c>
      <c r="P78" s="111">
        <v>32261</v>
      </c>
      <c r="Q78" s="111"/>
      <c r="R78" s="111"/>
      <c r="S78" s="111"/>
      <c r="T78" s="111"/>
    </row>
    <row r="79" spans="1:20">
      <c r="A79" s="131" t="s">
        <v>230</v>
      </c>
      <c r="B79" s="96" t="s">
        <v>186</v>
      </c>
      <c r="C79" s="111">
        <v>40208.647709999976</v>
      </c>
      <c r="D79" s="111">
        <v>16314.0463</v>
      </c>
      <c r="E79" s="111">
        <v>7750.8530599999995</v>
      </c>
      <c r="F79" s="111">
        <v>6745.0197900000003</v>
      </c>
      <c r="G79" s="111">
        <v>40288</v>
      </c>
      <c r="H79" s="111">
        <v>69296</v>
      </c>
      <c r="I79" s="111">
        <v>86876</v>
      </c>
      <c r="J79" s="111">
        <v>0</v>
      </c>
      <c r="K79" s="111">
        <v>0</v>
      </c>
      <c r="L79" s="111">
        <v>0</v>
      </c>
      <c r="M79" s="111"/>
      <c r="N79" s="111">
        <f t="shared" si="40"/>
        <v>28989</v>
      </c>
      <c r="O79" s="111">
        <v>28989</v>
      </c>
      <c r="P79" s="111">
        <v>32359</v>
      </c>
      <c r="Q79" s="111"/>
      <c r="R79" s="111"/>
      <c r="S79" s="111"/>
      <c r="T79" s="111"/>
    </row>
    <row r="80" spans="1:20">
      <c r="A80" s="131" t="s">
        <v>308</v>
      </c>
      <c r="B80" s="96" t="s">
        <v>186</v>
      </c>
      <c r="C80" s="128">
        <v>0</v>
      </c>
      <c r="D80" s="128">
        <v>0</v>
      </c>
      <c r="E80" s="128">
        <v>0</v>
      </c>
      <c r="F80" s="128">
        <v>0</v>
      </c>
      <c r="G80" s="128">
        <v>0</v>
      </c>
      <c r="H80" s="128">
        <v>0</v>
      </c>
      <c r="I80" s="128">
        <v>0</v>
      </c>
      <c r="J80" s="128">
        <v>0</v>
      </c>
      <c r="K80" s="128">
        <v>0</v>
      </c>
      <c r="L80" s="128">
        <v>0</v>
      </c>
      <c r="M80" s="128">
        <v>2613</v>
      </c>
      <c r="N80" s="128">
        <f t="shared" si="40"/>
        <v>640564</v>
      </c>
      <c r="O80" s="128">
        <v>640564</v>
      </c>
      <c r="P80" s="128">
        <v>673921</v>
      </c>
      <c r="Q80" s="128"/>
      <c r="R80" s="128"/>
      <c r="S80" s="128"/>
      <c r="T80" s="128"/>
    </row>
    <row r="81" spans="1:20">
      <c r="A81" s="131" t="s">
        <v>222</v>
      </c>
      <c r="B81" s="96" t="s">
        <v>186</v>
      </c>
      <c r="C81" s="128">
        <v>43624.952649548999</v>
      </c>
      <c r="D81" s="128">
        <v>44104.612829999998</v>
      </c>
      <c r="E81" s="128">
        <v>22705.3778141</v>
      </c>
      <c r="F81" s="128">
        <v>80253.151669999992</v>
      </c>
      <c r="G81" s="128">
        <v>9671</v>
      </c>
      <c r="H81" s="128">
        <v>264350</v>
      </c>
      <c r="I81" s="128">
        <v>137238</v>
      </c>
      <c r="J81" s="128">
        <v>48970</v>
      </c>
      <c r="K81" s="128">
        <v>48216</v>
      </c>
      <c r="L81" s="128">
        <v>125668</v>
      </c>
      <c r="M81" s="128">
        <v>125018</v>
      </c>
      <c r="N81" s="128">
        <f t="shared" si="40"/>
        <v>125449</v>
      </c>
      <c r="O81" s="128">
        <v>125449</v>
      </c>
      <c r="P81" s="128">
        <v>128758</v>
      </c>
      <c r="Q81" s="128"/>
      <c r="R81" s="128"/>
      <c r="S81" s="128"/>
      <c r="T81" s="128"/>
    </row>
    <row r="82" spans="1:20">
      <c r="A82" s="131" t="s">
        <v>280</v>
      </c>
      <c r="B82" s="96" t="s">
        <v>186</v>
      </c>
      <c r="C82" s="111">
        <v>44769.330959999999</v>
      </c>
      <c r="D82" s="111">
        <v>49410.851240000004</v>
      </c>
      <c r="E82" s="111">
        <v>58058.164750000011</v>
      </c>
      <c r="F82" s="111">
        <v>68502.277920000008</v>
      </c>
      <c r="G82" s="111">
        <v>72728</v>
      </c>
      <c r="H82" s="111">
        <v>74022</v>
      </c>
      <c r="I82" s="111">
        <v>70968</v>
      </c>
      <c r="J82" s="111">
        <v>67623</v>
      </c>
      <c r="K82" s="111">
        <v>69574</v>
      </c>
      <c r="L82" s="111">
        <v>67365</v>
      </c>
      <c r="M82" s="111">
        <v>69166</v>
      </c>
      <c r="N82" s="111">
        <f t="shared" si="40"/>
        <v>69703</v>
      </c>
      <c r="O82" s="111">
        <v>69703</v>
      </c>
      <c r="P82" s="111">
        <v>73027</v>
      </c>
      <c r="Q82" s="111"/>
      <c r="R82" s="111"/>
      <c r="S82" s="111"/>
      <c r="T82" s="111"/>
    </row>
    <row r="83" spans="1:20">
      <c r="A83" s="131" t="s">
        <v>281</v>
      </c>
      <c r="B83" s="96" t="s">
        <v>186</v>
      </c>
      <c r="C83" s="123">
        <v>0</v>
      </c>
      <c r="D83" s="123">
        <v>0</v>
      </c>
      <c r="E83" s="123">
        <v>0</v>
      </c>
      <c r="F83" s="123">
        <v>0</v>
      </c>
      <c r="G83" s="123">
        <v>26555</v>
      </c>
      <c r="H83" s="111">
        <v>14926</v>
      </c>
      <c r="I83" s="111">
        <v>16612</v>
      </c>
      <c r="J83" s="111">
        <v>24705</v>
      </c>
      <c r="K83" s="111">
        <v>25625</v>
      </c>
      <c r="L83" s="111">
        <v>21754</v>
      </c>
      <c r="M83" s="111">
        <v>5033</v>
      </c>
      <c r="N83" s="111">
        <f t="shared" si="40"/>
        <v>7272</v>
      </c>
      <c r="O83" s="111">
        <v>7272</v>
      </c>
      <c r="P83" s="111">
        <v>4975</v>
      </c>
      <c r="Q83" s="111"/>
      <c r="R83" s="111"/>
      <c r="S83" s="111"/>
      <c r="T83" s="111"/>
    </row>
    <row r="84" spans="1:20">
      <c r="A84" s="131" t="s">
        <v>309</v>
      </c>
      <c r="B84" s="96" t="s">
        <v>186</v>
      </c>
      <c r="C84" s="111">
        <v>18138.011645200004</v>
      </c>
      <c r="D84" s="111">
        <v>27765.920742214497</v>
      </c>
      <c r="E84" s="111">
        <v>28220.486612114488</v>
      </c>
      <c r="F84" s="111">
        <v>68037.666989400008</v>
      </c>
      <c r="G84" s="111">
        <v>38675</v>
      </c>
      <c r="H84" s="111">
        <v>33346</v>
      </c>
      <c r="I84" s="111">
        <v>51435</v>
      </c>
      <c r="J84" s="111">
        <v>31430</v>
      </c>
      <c r="K84" s="111">
        <v>0</v>
      </c>
      <c r="L84" s="111">
        <v>0</v>
      </c>
      <c r="M84" s="111">
        <v>26573</v>
      </c>
      <c r="N84" s="111">
        <f t="shared" si="40"/>
        <v>58886</v>
      </c>
      <c r="O84" s="111">
        <v>58886</v>
      </c>
      <c r="P84" s="111">
        <v>57711</v>
      </c>
      <c r="Q84" s="111"/>
      <c r="R84" s="111"/>
      <c r="S84" s="111"/>
      <c r="T84" s="111"/>
    </row>
    <row r="85" spans="1:20">
      <c r="A85" s="131" t="s">
        <v>282</v>
      </c>
      <c r="B85" s="96" t="s">
        <v>186</v>
      </c>
      <c r="C85" s="111">
        <v>0</v>
      </c>
      <c r="D85" s="111">
        <v>0</v>
      </c>
      <c r="E85" s="111">
        <v>0</v>
      </c>
      <c r="F85" s="111">
        <v>25587.653739999994</v>
      </c>
      <c r="G85" s="111">
        <v>17157</v>
      </c>
      <c r="H85" s="111">
        <v>9623</v>
      </c>
      <c r="I85" s="111">
        <v>4782</v>
      </c>
      <c r="J85" s="111">
        <v>2561</v>
      </c>
      <c r="K85" s="111">
        <v>2525</v>
      </c>
      <c r="L85" s="111">
        <v>2492</v>
      </c>
      <c r="M85" s="111">
        <v>285</v>
      </c>
      <c r="N85" s="111">
        <f t="shared" si="40"/>
        <v>0</v>
      </c>
      <c r="O85" s="111">
        <v>0</v>
      </c>
      <c r="P85" s="111">
        <v>0</v>
      </c>
      <c r="Q85" s="111"/>
      <c r="R85" s="111"/>
      <c r="S85" s="111"/>
      <c r="T85" s="111"/>
    </row>
    <row r="86" spans="1:20">
      <c r="A86" s="131" t="s">
        <v>283</v>
      </c>
      <c r="B86" s="96" t="s">
        <v>186</v>
      </c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>
        <f t="shared" si="40"/>
        <v>0</v>
      </c>
      <c r="O86" s="111"/>
      <c r="P86" s="111"/>
      <c r="Q86" s="111"/>
      <c r="R86" s="111"/>
      <c r="S86" s="111"/>
      <c r="T86" s="111"/>
    </row>
    <row r="87" spans="1:20">
      <c r="A87" s="131" t="s">
        <v>310</v>
      </c>
      <c r="B87" s="96" t="s">
        <v>186</v>
      </c>
      <c r="C87" s="111">
        <v>310304.64068516699</v>
      </c>
      <c r="D87" s="111">
        <v>385302.22255296406</v>
      </c>
      <c r="E87" s="111">
        <v>492730.68939335691</v>
      </c>
      <c r="F87" s="111">
        <v>151852.28185000003</v>
      </c>
      <c r="G87" s="111">
        <v>0</v>
      </c>
      <c r="H87" s="111">
        <v>0</v>
      </c>
      <c r="I87" s="111">
        <v>0</v>
      </c>
      <c r="J87" s="111">
        <v>0</v>
      </c>
      <c r="K87" s="111">
        <v>0</v>
      </c>
      <c r="L87" s="111">
        <v>0</v>
      </c>
      <c r="M87" s="111">
        <v>0</v>
      </c>
      <c r="N87" s="111">
        <f t="shared" si="40"/>
        <v>0</v>
      </c>
      <c r="O87" s="111">
        <v>0</v>
      </c>
      <c r="P87" s="111">
        <v>0</v>
      </c>
      <c r="Q87" s="111"/>
      <c r="R87" s="111"/>
      <c r="S87" s="111"/>
      <c r="T87" s="111"/>
    </row>
    <row r="88" spans="1:20">
      <c r="A88" s="131" t="s">
        <v>284</v>
      </c>
      <c r="B88" s="96" t="s">
        <v>186</v>
      </c>
      <c r="C88" s="111">
        <v>7.6725805999999919</v>
      </c>
      <c r="D88" s="111">
        <v>7.4146063999999932</v>
      </c>
      <c r="E88" s="111">
        <v>7.4146063999999932</v>
      </c>
      <c r="F88" s="111">
        <v>7.3990516999992941</v>
      </c>
      <c r="G88" s="111">
        <v>8</v>
      </c>
      <c r="H88" s="111">
        <v>8</v>
      </c>
      <c r="I88" s="111">
        <v>8</v>
      </c>
      <c r="J88" s="111">
        <v>8</v>
      </c>
      <c r="K88" s="111">
        <v>8</v>
      </c>
      <c r="L88" s="111">
        <v>109</v>
      </c>
      <c r="M88" s="111">
        <v>98</v>
      </c>
      <c r="N88" s="111">
        <f t="shared" si="40"/>
        <v>82</v>
      </c>
      <c r="O88" s="111">
        <v>82</v>
      </c>
      <c r="P88" s="111">
        <v>88</v>
      </c>
      <c r="Q88" s="111"/>
      <c r="R88" s="111"/>
      <c r="S88" s="111"/>
      <c r="T88" s="111"/>
    </row>
    <row r="89" spans="1:20">
      <c r="A89" s="131" t="s">
        <v>285</v>
      </c>
      <c r="B89" s="96" t="s">
        <v>186</v>
      </c>
      <c r="C89" s="111">
        <v>3090469.3602788122</v>
      </c>
      <c r="D89" s="111">
        <v>3298682.1844269224</v>
      </c>
      <c r="E89" s="111">
        <v>3215185.2853359003</v>
      </c>
      <c r="F89" s="111">
        <v>3054253.1016370002</v>
      </c>
      <c r="G89" s="111">
        <v>2283940</v>
      </c>
      <c r="H89" s="111">
        <v>2013592</v>
      </c>
      <c r="I89" s="111">
        <v>1943824</v>
      </c>
      <c r="J89" s="111">
        <v>2010050</v>
      </c>
      <c r="K89" s="111">
        <v>1996273</v>
      </c>
      <c r="L89" s="111">
        <v>2009430</v>
      </c>
      <c r="M89" s="111">
        <v>1939923</v>
      </c>
      <c r="N89" s="111">
        <f t="shared" si="40"/>
        <v>1994860</v>
      </c>
      <c r="O89" s="111">
        <v>1994860</v>
      </c>
      <c r="P89" s="111">
        <v>1930913</v>
      </c>
      <c r="Q89" s="111"/>
      <c r="R89" s="111"/>
      <c r="S89" s="111"/>
      <c r="T89" s="111"/>
    </row>
    <row r="90" spans="1:20">
      <c r="A90" s="131" t="s">
        <v>286</v>
      </c>
      <c r="B90" s="96" t="s">
        <v>186</v>
      </c>
      <c r="C90" s="111">
        <v>0</v>
      </c>
      <c r="D90" s="111">
        <v>0</v>
      </c>
      <c r="E90" s="111">
        <v>0</v>
      </c>
      <c r="F90" s="111">
        <v>0</v>
      </c>
      <c r="G90" s="111">
        <v>0</v>
      </c>
      <c r="H90" s="111">
        <v>0</v>
      </c>
      <c r="I90" s="111">
        <v>246040</v>
      </c>
      <c r="J90" s="111">
        <v>224727</v>
      </c>
      <c r="K90" s="111">
        <v>206727</v>
      </c>
      <c r="L90" s="111">
        <v>191558</v>
      </c>
      <c r="M90" s="111">
        <v>163263</v>
      </c>
      <c r="N90" s="111">
        <f t="shared" si="40"/>
        <v>136904</v>
      </c>
      <c r="O90" s="111">
        <v>136904</v>
      </c>
      <c r="P90" s="111">
        <v>111375</v>
      </c>
      <c r="Q90" s="111"/>
      <c r="R90" s="111"/>
      <c r="S90" s="111"/>
      <c r="T90" s="111"/>
    </row>
    <row r="91" spans="1:20">
      <c r="A91" s="131" t="s">
        <v>287</v>
      </c>
      <c r="B91" s="96" t="s">
        <v>186</v>
      </c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>
        <f t="shared" si="40"/>
        <v>0</v>
      </c>
      <c r="O91" s="111"/>
      <c r="P91" s="111"/>
      <c r="Q91" s="111"/>
      <c r="R91" s="111"/>
      <c r="S91" s="111"/>
      <c r="T91" s="111"/>
    </row>
    <row r="92" spans="1:20">
      <c r="A92" s="131" t="s">
        <v>288</v>
      </c>
      <c r="B92" s="96" t="s">
        <v>186</v>
      </c>
      <c r="C92" s="111">
        <v>1158900</v>
      </c>
      <c r="D92" s="111">
        <v>1266896.2361799998</v>
      </c>
      <c r="E92" s="111">
        <v>1266896.2361799998</v>
      </c>
      <c r="F92" s="111">
        <v>1266896.23618</v>
      </c>
      <c r="G92" s="111">
        <v>301312</v>
      </c>
      <c r="H92" s="111">
        <v>301312</v>
      </c>
      <c r="I92" s="111">
        <v>301312</v>
      </c>
      <c r="J92" s="111">
        <v>301312</v>
      </c>
      <c r="K92" s="111">
        <v>301312</v>
      </c>
      <c r="L92" s="111">
        <v>301312</v>
      </c>
      <c r="M92" s="111">
        <v>301312</v>
      </c>
      <c r="N92" s="111">
        <f t="shared" si="40"/>
        <v>301312</v>
      </c>
      <c r="O92" s="111">
        <v>301312</v>
      </c>
      <c r="P92" s="111">
        <v>301312</v>
      </c>
      <c r="Q92" s="111"/>
      <c r="R92" s="111"/>
      <c r="S92" s="111"/>
      <c r="T92" s="111"/>
    </row>
    <row r="93" spans="1:20">
      <c r="A93" s="131" t="s">
        <v>311</v>
      </c>
      <c r="B93" s="96" t="s">
        <v>186</v>
      </c>
      <c r="C93" s="111">
        <v>276035.22212999966</v>
      </c>
      <c r="D93" s="111">
        <v>171806.53963666665</v>
      </c>
      <c r="E93" s="111">
        <v>164970.6172599995</v>
      </c>
      <c r="F93" s="111">
        <v>162241.49335000012</v>
      </c>
      <c r="G93" s="111">
        <v>169520</v>
      </c>
      <c r="H93" s="111">
        <v>215693</v>
      </c>
      <c r="I93" s="111">
        <v>194328</v>
      </c>
      <c r="J93" s="111">
        <v>142556</v>
      </c>
      <c r="K93" s="111">
        <v>139707</v>
      </c>
      <c r="L93" s="111">
        <v>136614</v>
      </c>
      <c r="M93" s="111">
        <v>136370</v>
      </c>
      <c r="N93" s="111">
        <f t="shared" si="40"/>
        <v>174297</v>
      </c>
      <c r="O93" s="111">
        <v>174297</v>
      </c>
      <c r="P93" s="111">
        <v>189173</v>
      </c>
      <c r="Q93" s="111"/>
      <c r="R93" s="111"/>
      <c r="S93" s="111"/>
      <c r="T93" s="111"/>
    </row>
    <row r="94" spans="1:20">
      <c r="A94" s="104" t="s">
        <v>289</v>
      </c>
      <c r="B94" s="104" t="s">
        <v>186</v>
      </c>
      <c r="C94" s="120">
        <f t="shared" ref="C94:J94" si="51">SUM(C95,C107,C126)</f>
        <v>7165521.425820455</v>
      </c>
      <c r="D94" s="120">
        <f t="shared" si="51"/>
        <v>7253365.2151653944</v>
      </c>
      <c r="E94" s="120">
        <f t="shared" si="51"/>
        <v>7327382.0444055814</v>
      </c>
      <c r="F94" s="120">
        <f t="shared" si="51"/>
        <v>6771543.9082314111</v>
      </c>
      <c r="G94" s="120">
        <f t="shared" si="51"/>
        <v>3852690</v>
      </c>
      <c r="H94" s="120">
        <f t="shared" si="51"/>
        <v>3746565</v>
      </c>
      <c r="I94" s="120">
        <f t="shared" si="51"/>
        <v>3928438</v>
      </c>
      <c r="J94" s="120">
        <f t="shared" si="51"/>
        <v>3889785</v>
      </c>
      <c r="K94" s="120">
        <f>SUM(K95,K107,K126)</f>
        <v>3931137</v>
      </c>
      <c r="L94" s="120">
        <f>SUM(L95,L107,L126)</f>
        <v>4076741</v>
      </c>
      <c r="M94" s="120">
        <f>SUM(M95,M107,M126)</f>
        <v>4924596</v>
      </c>
      <c r="N94" s="120">
        <f t="shared" si="40"/>
        <v>4816696</v>
      </c>
      <c r="O94" s="120">
        <f>SUM(O95,O107,O126)</f>
        <v>4816696</v>
      </c>
      <c r="P94" s="120">
        <f t="shared" ref="P94:Q94" si="52">SUM(P95,P107,P126)</f>
        <v>4862860</v>
      </c>
      <c r="Q94" s="120">
        <f t="shared" si="52"/>
        <v>0</v>
      </c>
      <c r="R94" s="120">
        <f>SUM(R95,R107,R126)</f>
        <v>0</v>
      </c>
      <c r="S94" s="120">
        <f>T94</f>
        <v>0</v>
      </c>
      <c r="T94" s="120">
        <f>SUM(T95,T107,T126)</f>
        <v>0</v>
      </c>
    </row>
    <row r="95" spans="1:20">
      <c r="A95" s="116" t="s">
        <v>290</v>
      </c>
      <c r="B95" s="96" t="s">
        <v>186</v>
      </c>
      <c r="C95" s="111">
        <f t="shared" ref="C95:K95" si="53">SUM(C96:C106)</f>
        <v>685220.92291107925</v>
      </c>
      <c r="D95" s="111">
        <f t="shared" si="53"/>
        <v>1275319.1955039902</v>
      </c>
      <c r="E95" s="111">
        <f t="shared" si="53"/>
        <v>1558706.5560846822</v>
      </c>
      <c r="F95" s="111">
        <f t="shared" si="53"/>
        <v>1517740.6908305411</v>
      </c>
      <c r="G95" s="111">
        <f t="shared" si="53"/>
        <v>1898418</v>
      </c>
      <c r="H95" s="111">
        <f t="shared" si="53"/>
        <v>1253690</v>
      </c>
      <c r="I95" s="111">
        <f t="shared" si="53"/>
        <v>1445361</v>
      </c>
      <c r="J95" s="111">
        <f t="shared" si="53"/>
        <v>887786</v>
      </c>
      <c r="K95" s="111">
        <f t="shared" si="53"/>
        <v>848207</v>
      </c>
      <c r="L95" s="111">
        <f t="shared" ref="L95:M95" si="54">SUM(L96:L106)</f>
        <v>945635</v>
      </c>
      <c r="M95" s="111">
        <f t="shared" si="54"/>
        <v>897714</v>
      </c>
      <c r="N95" s="111">
        <f t="shared" si="40"/>
        <v>940763</v>
      </c>
      <c r="O95" s="111">
        <f>SUM(O96:O106)</f>
        <v>940763</v>
      </c>
      <c r="P95" s="111">
        <f t="shared" ref="P95:R95" si="55">SUM(P96:P106)</f>
        <v>1046512</v>
      </c>
      <c r="Q95" s="111">
        <f t="shared" si="55"/>
        <v>0</v>
      </c>
      <c r="R95" s="111">
        <f t="shared" si="55"/>
        <v>0</v>
      </c>
      <c r="S95" s="111">
        <f>T95</f>
        <v>0</v>
      </c>
      <c r="T95" s="111">
        <f t="shared" ref="T95" si="56">SUM(T96:T106)</f>
        <v>0</v>
      </c>
    </row>
    <row r="96" spans="1:20">
      <c r="A96" s="131" t="s">
        <v>232</v>
      </c>
      <c r="B96" s="96" t="s">
        <v>186</v>
      </c>
      <c r="C96" s="111">
        <v>265054.41135211388</v>
      </c>
      <c r="D96" s="111">
        <v>195834.08650300017</v>
      </c>
      <c r="E96" s="111">
        <v>171944.16674869892</v>
      </c>
      <c r="F96" s="111">
        <v>138470.42982029996</v>
      </c>
      <c r="G96" s="111">
        <v>282498</v>
      </c>
      <c r="H96" s="111">
        <v>400039</v>
      </c>
      <c r="I96" s="111">
        <v>284943</v>
      </c>
      <c r="J96" s="123">
        <v>394216</v>
      </c>
      <c r="K96" s="123">
        <v>387058</v>
      </c>
      <c r="L96" s="123">
        <v>415121</v>
      </c>
      <c r="M96" s="123">
        <v>437297</v>
      </c>
      <c r="N96" s="123">
        <f t="shared" ref="N96:N127" si="57">O96</f>
        <v>585102</v>
      </c>
      <c r="O96" s="123">
        <v>585102</v>
      </c>
      <c r="P96" s="123">
        <v>582593</v>
      </c>
      <c r="Q96" s="123"/>
      <c r="R96" s="123"/>
      <c r="S96" s="123"/>
      <c r="T96" s="123"/>
    </row>
    <row r="97" spans="1:20">
      <c r="A97" s="131" t="s">
        <v>291</v>
      </c>
      <c r="B97" s="96" t="s">
        <v>186</v>
      </c>
      <c r="C97" s="123">
        <v>2151</v>
      </c>
      <c r="D97" s="123">
        <v>2135</v>
      </c>
      <c r="E97" s="123">
        <v>1585</v>
      </c>
      <c r="F97" s="123">
        <v>419231</v>
      </c>
      <c r="G97" s="111">
        <v>419482</v>
      </c>
      <c r="H97" s="111">
        <v>469743</v>
      </c>
      <c r="I97" s="111">
        <v>719975</v>
      </c>
      <c r="J97" s="111">
        <v>0</v>
      </c>
      <c r="K97" s="111">
        <v>0</v>
      </c>
      <c r="L97" s="111">
        <v>0</v>
      </c>
      <c r="M97" s="111">
        <v>0</v>
      </c>
      <c r="N97" s="111">
        <f t="shared" si="57"/>
        <v>0</v>
      </c>
      <c r="O97" s="111">
        <v>0</v>
      </c>
      <c r="P97" s="111"/>
      <c r="Q97" s="111"/>
      <c r="R97" s="111"/>
      <c r="S97" s="111"/>
      <c r="T97" s="111"/>
    </row>
    <row r="98" spans="1:20">
      <c r="A98" s="131" t="s">
        <v>292</v>
      </c>
      <c r="B98" s="96" t="s">
        <v>186</v>
      </c>
      <c r="C98" s="123">
        <f>49731+7317</f>
        <v>57048</v>
      </c>
      <c r="D98" s="123">
        <f>188800+7590</f>
        <v>196390</v>
      </c>
      <c r="E98" s="123">
        <f>8442+37625</f>
        <v>46067</v>
      </c>
      <c r="F98" s="123">
        <v>43722.902092299999</v>
      </c>
      <c r="G98" s="111">
        <v>333967</v>
      </c>
      <c r="H98" s="111">
        <v>13719</v>
      </c>
      <c r="I98" s="111">
        <v>13883</v>
      </c>
      <c r="J98" s="111">
        <v>13667</v>
      </c>
      <c r="K98" s="111">
        <v>13378</v>
      </c>
      <c r="L98" s="111">
        <v>13329</v>
      </c>
      <c r="M98" s="111">
        <v>13428</v>
      </c>
      <c r="N98" s="111">
        <f t="shared" si="57"/>
        <v>23457</v>
      </c>
      <c r="O98" s="111">
        <v>23457</v>
      </c>
      <c r="P98" s="111">
        <v>23821</v>
      </c>
      <c r="Q98" s="111"/>
      <c r="R98" s="111"/>
      <c r="S98" s="111"/>
      <c r="T98" s="111"/>
    </row>
    <row r="99" spans="1:20">
      <c r="A99" s="131" t="s">
        <v>293</v>
      </c>
      <c r="B99" s="96" t="s">
        <v>186</v>
      </c>
      <c r="C99" s="123">
        <v>137712</v>
      </c>
      <c r="D99" s="123">
        <v>165296</v>
      </c>
      <c r="E99" s="123">
        <v>195732</v>
      </c>
      <c r="F99" s="123">
        <v>194517.9</v>
      </c>
      <c r="G99" s="111">
        <v>92595</v>
      </c>
      <c r="H99" s="111">
        <v>65662</v>
      </c>
      <c r="I99" s="111">
        <v>33117</v>
      </c>
      <c r="J99" s="111">
        <v>6108</v>
      </c>
      <c r="K99" s="111">
        <v>29687</v>
      </c>
      <c r="L99" s="111">
        <v>8118</v>
      </c>
      <c r="M99" s="111">
        <v>45499</v>
      </c>
      <c r="N99" s="111">
        <f t="shared" si="57"/>
        <v>22667</v>
      </c>
      <c r="O99" s="111">
        <v>22667</v>
      </c>
      <c r="P99" s="111">
        <v>114049</v>
      </c>
      <c r="Q99" s="111"/>
      <c r="R99" s="111"/>
      <c r="S99" s="111"/>
      <c r="T99" s="111"/>
    </row>
    <row r="100" spans="1:20">
      <c r="A100" s="131" t="s">
        <v>294</v>
      </c>
      <c r="B100" s="96" t="s">
        <v>186</v>
      </c>
      <c r="C100" s="128">
        <v>109034.45472522263</v>
      </c>
      <c r="D100" s="128">
        <v>96049.987249590558</v>
      </c>
      <c r="E100" s="128">
        <v>115373.45932280675</v>
      </c>
      <c r="F100" s="128">
        <v>113680.74028172388</v>
      </c>
      <c r="G100" s="128">
        <v>99382</v>
      </c>
      <c r="H100" s="128">
        <v>160091</v>
      </c>
      <c r="I100" s="128">
        <v>141506</v>
      </c>
      <c r="J100" s="128">
        <v>164084</v>
      </c>
      <c r="K100" s="128">
        <v>183901</v>
      </c>
      <c r="L100" s="128">
        <v>213100</v>
      </c>
      <c r="M100" s="128">
        <v>194943</v>
      </c>
      <c r="N100" s="128">
        <f t="shared" si="57"/>
        <v>107226</v>
      </c>
      <c r="O100" s="128">
        <v>107226</v>
      </c>
      <c r="P100" s="128">
        <v>108416</v>
      </c>
      <c r="Q100" s="128"/>
      <c r="R100" s="128"/>
      <c r="S100" s="128"/>
      <c r="T100" s="128"/>
    </row>
    <row r="101" spans="1:20">
      <c r="A101" s="131" t="s">
        <v>295</v>
      </c>
      <c r="B101" s="96" t="s">
        <v>186</v>
      </c>
      <c r="C101" s="128">
        <v>61806.402100090527</v>
      </c>
      <c r="D101" s="128">
        <v>57013.56221107328</v>
      </c>
      <c r="E101" s="128">
        <v>42161.999099377543</v>
      </c>
      <c r="F101" s="128">
        <v>46558.089479399998</v>
      </c>
      <c r="G101" s="128">
        <v>52281</v>
      </c>
      <c r="H101" s="128">
        <v>49398</v>
      </c>
      <c r="I101" s="128">
        <v>45343</v>
      </c>
      <c r="J101" s="128">
        <v>71755</v>
      </c>
      <c r="K101" s="128">
        <v>74047</v>
      </c>
      <c r="L101" s="128">
        <v>50160</v>
      </c>
      <c r="M101" s="128">
        <v>62542</v>
      </c>
      <c r="N101" s="128">
        <f t="shared" si="57"/>
        <v>66642</v>
      </c>
      <c r="O101" s="128">
        <v>66642</v>
      </c>
      <c r="P101" s="128">
        <v>75641</v>
      </c>
      <c r="Q101" s="128"/>
      <c r="R101" s="128"/>
      <c r="S101" s="128"/>
      <c r="T101" s="128"/>
    </row>
    <row r="102" spans="1:20">
      <c r="A102" s="131" t="s">
        <v>312</v>
      </c>
      <c r="B102" s="96" t="s">
        <v>186</v>
      </c>
      <c r="C102" s="111">
        <v>591.11965999999848</v>
      </c>
      <c r="D102" s="111">
        <v>590.81956000000002</v>
      </c>
      <c r="E102" s="111">
        <v>0</v>
      </c>
      <c r="F102" s="111">
        <v>6751.7415450000008</v>
      </c>
      <c r="G102" s="111">
        <v>143180</v>
      </c>
      <c r="H102" s="111">
        <v>0</v>
      </c>
      <c r="I102" s="111">
        <v>0</v>
      </c>
      <c r="J102" s="111">
        <v>6845</v>
      </c>
      <c r="K102" s="111">
        <v>6845</v>
      </c>
      <c r="L102" s="111">
        <v>97000</v>
      </c>
      <c r="M102" s="111">
        <v>0</v>
      </c>
      <c r="N102" s="111">
        <f t="shared" si="57"/>
        <v>0</v>
      </c>
      <c r="O102" s="111">
        <v>0</v>
      </c>
      <c r="P102" s="111">
        <v>19792</v>
      </c>
      <c r="Q102" s="111"/>
      <c r="R102" s="111"/>
      <c r="S102" s="111"/>
      <c r="T102" s="111"/>
    </row>
    <row r="103" spans="1:20">
      <c r="A103" s="131" t="s">
        <v>296</v>
      </c>
      <c r="B103" s="96" t="s">
        <v>186</v>
      </c>
      <c r="C103" s="111">
        <v>7733.3138599999984</v>
      </c>
      <c r="D103" s="111">
        <v>9099.1705699999984</v>
      </c>
      <c r="E103" s="111">
        <v>8594.8226699999996</v>
      </c>
      <c r="F103" s="111">
        <v>7975.1468610000002</v>
      </c>
      <c r="G103" s="111">
        <v>8530</v>
      </c>
      <c r="H103" s="111">
        <v>6827</v>
      </c>
      <c r="I103" s="111">
        <v>8599</v>
      </c>
      <c r="J103" s="111">
        <v>7086</v>
      </c>
      <c r="K103" s="111">
        <v>7534</v>
      </c>
      <c r="L103" s="111">
        <v>8853</v>
      </c>
      <c r="M103" s="111">
        <v>8303</v>
      </c>
      <c r="N103" s="111">
        <f t="shared" si="57"/>
        <v>9140</v>
      </c>
      <c r="O103" s="111">
        <v>9140</v>
      </c>
      <c r="P103" s="111">
        <v>10312</v>
      </c>
      <c r="Q103" s="111"/>
      <c r="R103" s="111"/>
      <c r="S103" s="111"/>
      <c r="T103" s="111"/>
    </row>
    <row r="104" spans="1:20">
      <c r="A104" s="131" t="s">
        <v>297</v>
      </c>
      <c r="B104" s="96" t="s">
        <v>186</v>
      </c>
      <c r="C104" s="111">
        <v>40646.452587057</v>
      </c>
      <c r="D104" s="111">
        <v>478643.86440089112</v>
      </c>
      <c r="E104" s="111">
        <v>660562.98424596502</v>
      </c>
      <c r="F104" s="111">
        <v>468949.52387371717</v>
      </c>
      <c r="G104" s="111">
        <v>437274</v>
      </c>
      <c r="H104" s="111">
        <v>54910</v>
      </c>
      <c r="I104" s="111">
        <v>46890</v>
      </c>
      <c r="J104" s="111">
        <v>67877</v>
      </c>
      <c r="K104" s="132" t="s">
        <v>43</v>
      </c>
      <c r="L104" s="111">
        <v>0</v>
      </c>
      <c r="M104" s="111">
        <v>0</v>
      </c>
      <c r="N104" s="111">
        <f t="shared" si="57"/>
        <v>0</v>
      </c>
      <c r="O104" s="111">
        <v>0</v>
      </c>
      <c r="P104" s="132">
        <v>0</v>
      </c>
      <c r="Q104" s="111"/>
      <c r="R104" s="111"/>
      <c r="S104" s="111"/>
      <c r="T104" s="111"/>
    </row>
    <row r="105" spans="1:20">
      <c r="A105" s="131" t="s">
        <v>298</v>
      </c>
      <c r="B105" s="96" t="s">
        <v>186</v>
      </c>
      <c r="C105" s="111">
        <v>0</v>
      </c>
      <c r="D105" s="111">
        <v>0</v>
      </c>
      <c r="E105" s="111">
        <v>0</v>
      </c>
      <c r="F105" s="111">
        <v>0</v>
      </c>
      <c r="G105" s="111">
        <v>0</v>
      </c>
      <c r="H105" s="111">
        <v>0</v>
      </c>
      <c r="I105" s="111">
        <v>112275</v>
      </c>
      <c r="J105" s="111">
        <v>110908</v>
      </c>
      <c r="K105" s="111">
        <v>114719</v>
      </c>
      <c r="L105" s="111">
        <v>111373</v>
      </c>
      <c r="M105" s="111">
        <v>105807</v>
      </c>
      <c r="N105" s="111">
        <f t="shared" si="57"/>
        <v>99864</v>
      </c>
      <c r="O105" s="111">
        <v>99864</v>
      </c>
      <c r="P105" s="111">
        <v>83939</v>
      </c>
      <c r="Q105" s="111"/>
      <c r="R105" s="111"/>
      <c r="S105" s="111"/>
      <c r="T105" s="111"/>
    </row>
    <row r="106" spans="1:20">
      <c r="A106" s="131" t="s">
        <v>234</v>
      </c>
      <c r="B106" s="96" t="s">
        <v>186</v>
      </c>
      <c r="C106" s="111">
        <v>3443.7686265953084</v>
      </c>
      <c r="D106" s="111">
        <v>74266.705009434983</v>
      </c>
      <c r="E106" s="111">
        <v>316685.12399783416</v>
      </c>
      <c r="F106" s="111">
        <v>77883.216877100087</v>
      </c>
      <c r="G106" s="111">
        <v>29229</v>
      </c>
      <c r="H106" s="111">
        <v>33301</v>
      </c>
      <c r="I106" s="111">
        <v>38830</v>
      </c>
      <c r="J106" s="111">
        <v>45240</v>
      </c>
      <c r="K106" s="111">
        <v>31038</v>
      </c>
      <c r="L106" s="111">
        <v>28581</v>
      </c>
      <c r="M106" s="111">
        <v>29895</v>
      </c>
      <c r="N106" s="111">
        <f t="shared" si="57"/>
        <v>26665</v>
      </c>
      <c r="O106" s="111">
        <v>26665</v>
      </c>
      <c r="P106" s="111">
        <v>27949</v>
      </c>
      <c r="Q106" s="111"/>
      <c r="R106" s="111"/>
      <c r="S106" s="111"/>
      <c r="T106" s="111"/>
    </row>
    <row r="107" spans="1:20">
      <c r="A107" s="116" t="s">
        <v>299</v>
      </c>
      <c r="B107" s="96" t="s">
        <v>186</v>
      </c>
      <c r="C107" s="128">
        <f t="shared" ref="C107:K107" si="58">SUM(C108:C117)</f>
        <v>4052242.2836077991</v>
      </c>
      <c r="D107" s="128">
        <f t="shared" si="58"/>
        <v>3430945.0858331891</v>
      </c>
      <c r="E107" s="128">
        <f t="shared" si="58"/>
        <v>3376749.359158969</v>
      </c>
      <c r="F107" s="128">
        <f t="shared" si="58"/>
        <v>3002939.4556065761</v>
      </c>
      <c r="G107" s="128">
        <f t="shared" si="58"/>
        <v>2106806</v>
      </c>
      <c r="H107" s="128">
        <f t="shared" si="58"/>
        <v>2042306</v>
      </c>
      <c r="I107" s="128">
        <f t="shared" si="58"/>
        <v>1687418</v>
      </c>
      <c r="J107" s="128">
        <f t="shared" si="58"/>
        <v>2304863</v>
      </c>
      <c r="K107" s="128">
        <f t="shared" si="58"/>
        <v>2267494</v>
      </c>
      <c r="L107" s="128">
        <f t="shared" ref="L107:M107" si="59">SUM(L108:L117)</f>
        <v>2254448</v>
      </c>
      <c r="M107" s="128">
        <f t="shared" si="59"/>
        <v>3176775</v>
      </c>
      <c r="N107" s="128">
        <f t="shared" si="57"/>
        <v>2994125</v>
      </c>
      <c r="O107" s="128">
        <f t="shared" ref="O107:R107" si="60">SUM(O108:O117)</f>
        <v>2994125</v>
      </c>
      <c r="P107" s="128">
        <f t="shared" si="60"/>
        <v>2978722</v>
      </c>
      <c r="Q107" s="128">
        <f t="shared" si="60"/>
        <v>0</v>
      </c>
      <c r="R107" s="128">
        <f t="shared" si="60"/>
        <v>0</v>
      </c>
      <c r="S107" s="128">
        <f>T107</f>
        <v>0</v>
      </c>
      <c r="T107" s="128">
        <f t="shared" ref="T107" si="61">SUM(T108:T117)</f>
        <v>0</v>
      </c>
    </row>
    <row r="108" spans="1:20">
      <c r="A108" s="131" t="s">
        <v>291</v>
      </c>
      <c r="B108" s="96" t="s">
        <v>186</v>
      </c>
      <c r="C108" s="128">
        <v>2695990.1429393999</v>
      </c>
      <c r="D108" s="128">
        <v>2695502.7041774001</v>
      </c>
      <c r="E108" s="128">
        <v>2695536.4451700002</v>
      </c>
      <c r="F108" s="128">
        <v>2099663.1405400001</v>
      </c>
      <c r="G108" s="128">
        <v>1680269</v>
      </c>
      <c r="H108" s="128">
        <v>1410631</v>
      </c>
      <c r="I108" s="128">
        <v>940656</v>
      </c>
      <c r="J108" s="128">
        <v>1700161</v>
      </c>
      <c r="K108" s="128">
        <v>1700161</v>
      </c>
      <c r="L108" s="128">
        <v>1700161</v>
      </c>
      <c r="M108" s="128">
        <v>2690931</v>
      </c>
      <c r="N108" s="128">
        <f t="shared" si="57"/>
        <v>2691542</v>
      </c>
      <c r="O108" s="128">
        <v>2691542</v>
      </c>
      <c r="P108" s="128">
        <v>2692176</v>
      </c>
      <c r="Q108" s="128"/>
      <c r="R108" s="128"/>
      <c r="S108" s="128"/>
      <c r="T108" s="128"/>
    </row>
    <row r="109" spans="1:20">
      <c r="A109" s="131" t="s">
        <v>292</v>
      </c>
      <c r="B109" s="96" t="s">
        <v>186</v>
      </c>
      <c r="C109" s="111">
        <v>740132.50808940001</v>
      </c>
      <c r="D109" s="111">
        <v>271827.47778349998</v>
      </c>
      <c r="E109" s="111">
        <v>266715.9476589</v>
      </c>
      <c r="F109" s="111">
        <v>522015.87516330008</v>
      </c>
      <c r="G109" s="111">
        <v>75675</v>
      </c>
      <c r="H109" s="111">
        <v>263873</v>
      </c>
      <c r="I109" s="111">
        <v>251888</v>
      </c>
      <c r="J109" s="111">
        <v>40918</v>
      </c>
      <c r="K109" s="111">
        <v>38644</v>
      </c>
      <c r="L109" s="111">
        <v>36786</v>
      </c>
      <c r="M109" s="111">
        <v>35006</v>
      </c>
      <c r="N109" s="111">
        <f t="shared" si="57"/>
        <v>18713</v>
      </c>
      <c r="O109" s="111">
        <v>18713</v>
      </c>
      <c r="P109" s="111">
        <v>16502</v>
      </c>
      <c r="Q109" s="111"/>
      <c r="R109" s="111"/>
      <c r="S109" s="111"/>
      <c r="T109" s="111"/>
    </row>
    <row r="110" spans="1:20">
      <c r="A110" s="131" t="s">
        <v>300</v>
      </c>
      <c r="B110" s="96" t="s">
        <v>186</v>
      </c>
      <c r="C110" s="111">
        <v>49600.271890000011</v>
      </c>
      <c r="D110" s="111">
        <v>46975.119110999993</v>
      </c>
      <c r="E110" s="111">
        <v>52278.692299899987</v>
      </c>
      <c r="F110" s="111">
        <v>52138.170817176135</v>
      </c>
      <c r="G110" s="111">
        <v>45312</v>
      </c>
      <c r="H110" s="111">
        <v>31280</v>
      </c>
      <c r="I110" s="111">
        <v>20479</v>
      </c>
      <c r="J110" s="111">
        <v>66898</v>
      </c>
      <c r="K110" s="111">
        <v>62797</v>
      </c>
      <c r="L110" s="111">
        <v>59959</v>
      </c>
      <c r="M110" s="111">
        <v>28501</v>
      </c>
      <c r="N110" s="111">
        <f t="shared" si="57"/>
        <v>27842</v>
      </c>
      <c r="O110" s="111">
        <v>27842</v>
      </c>
      <c r="P110" s="111">
        <v>25909</v>
      </c>
      <c r="Q110" s="111"/>
      <c r="R110" s="111"/>
      <c r="S110" s="111"/>
      <c r="T110" s="111"/>
    </row>
    <row r="111" spans="1:20">
      <c r="A111" s="131" t="s">
        <v>301</v>
      </c>
      <c r="B111" s="96" t="s">
        <v>186</v>
      </c>
      <c r="C111" s="111">
        <v>61465.207700000006</v>
      </c>
      <c r="D111" s="111">
        <v>62736.46862</v>
      </c>
      <c r="E111" s="111">
        <v>63405.085520000001</v>
      </c>
      <c r="F111" s="111">
        <v>62537.626509999995</v>
      </c>
      <c r="G111" s="111">
        <v>63608</v>
      </c>
      <c r="H111" s="111">
        <v>27616</v>
      </c>
      <c r="I111" s="111">
        <v>22288</v>
      </c>
      <c r="J111" s="111">
        <v>23677</v>
      </c>
      <c r="K111" s="111">
        <v>25224</v>
      </c>
      <c r="L111" s="111">
        <v>26274</v>
      </c>
      <c r="M111" s="111">
        <v>27426</v>
      </c>
      <c r="N111" s="111">
        <f t="shared" si="57"/>
        <v>28110</v>
      </c>
      <c r="O111" s="111">
        <v>28110</v>
      </c>
      <c r="P111" s="111">
        <v>29669</v>
      </c>
      <c r="Q111" s="111"/>
      <c r="R111" s="111"/>
      <c r="S111" s="111"/>
      <c r="T111" s="111"/>
    </row>
    <row r="112" spans="1:20">
      <c r="A112" s="131" t="s">
        <v>235</v>
      </c>
      <c r="B112" s="96" t="s">
        <v>186</v>
      </c>
      <c r="C112" s="111">
        <v>23072.478630000001</v>
      </c>
      <c r="D112" s="111">
        <v>22303.627569999997</v>
      </c>
      <c r="E112" s="111">
        <v>21303.14949</v>
      </c>
      <c r="F112" s="111">
        <v>20098.76456</v>
      </c>
      <c r="G112" s="111">
        <v>18134</v>
      </c>
      <c r="H112" s="111">
        <v>15576</v>
      </c>
      <c r="I112" s="111">
        <v>26096</v>
      </c>
      <c r="J112" s="111">
        <v>62789</v>
      </c>
      <c r="K112" s="111">
        <v>52182</v>
      </c>
      <c r="L112" s="111">
        <v>53410</v>
      </c>
      <c r="M112" s="111">
        <v>47135</v>
      </c>
      <c r="N112" s="111">
        <f t="shared" si="57"/>
        <v>41685</v>
      </c>
      <c r="O112" s="111">
        <v>41685</v>
      </c>
      <c r="P112" s="111">
        <v>36757</v>
      </c>
      <c r="Q112" s="111"/>
      <c r="R112" s="111"/>
      <c r="S112" s="111"/>
      <c r="T112" s="111"/>
    </row>
    <row r="113" spans="1:21">
      <c r="A113" s="131" t="s">
        <v>313</v>
      </c>
      <c r="B113" s="96" t="s">
        <v>186</v>
      </c>
      <c r="C113" s="111">
        <v>294218.81632749928</v>
      </c>
      <c r="D113" s="111">
        <v>301887.22825858858</v>
      </c>
      <c r="E113" s="111">
        <v>241455.76575096842</v>
      </c>
      <c r="F113" s="111">
        <v>212882.39254</v>
      </c>
      <c r="G113" s="111">
        <v>159132</v>
      </c>
      <c r="H113" s="111">
        <v>160404</v>
      </c>
      <c r="I113" s="111">
        <v>161106</v>
      </c>
      <c r="J113" s="111">
        <v>159956</v>
      </c>
      <c r="K113" s="132">
        <v>158049</v>
      </c>
      <c r="L113" s="132">
        <v>154122</v>
      </c>
      <c r="M113" s="132">
        <v>148871</v>
      </c>
      <c r="N113" s="132">
        <f t="shared" si="57"/>
        <v>8024</v>
      </c>
      <c r="O113" s="111">
        <v>8024</v>
      </c>
      <c r="P113" s="132">
        <v>7906</v>
      </c>
      <c r="Q113" s="132"/>
      <c r="R113" s="132"/>
      <c r="S113" s="132"/>
      <c r="T113" s="111"/>
    </row>
    <row r="114" spans="1:21">
      <c r="A114" s="131" t="s">
        <v>298</v>
      </c>
      <c r="B114" s="96" t="s">
        <v>186</v>
      </c>
      <c r="C114" s="132">
        <v>0</v>
      </c>
      <c r="D114" s="132">
        <v>0</v>
      </c>
      <c r="E114" s="132">
        <v>0</v>
      </c>
      <c r="F114" s="132">
        <v>0</v>
      </c>
      <c r="G114" s="132">
        <v>0</v>
      </c>
      <c r="H114" s="111">
        <v>0</v>
      </c>
      <c r="I114" s="132">
        <v>143354</v>
      </c>
      <c r="J114" s="132">
        <v>131815</v>
      </c>
      <c r="K114" s="132">
        <v>109867</v>
      </c>
      <c r="L114" s="132">
        <v>99049</v>
      </c>
      <c r="M114" s="132">
        <v>76321</v>
      </c>
      <c r="N114" s="132">
        <f t="shared" si="57"/>
        <v>55283</v>
      </c>
      <c r="O114" s="132">
        <v>55283</v>
      </c>
      <c r="P114" s="132">
        <v>41764</v>
      </c>
      <c r="Q114" s="132"/>
      <c r="R114" s="132"/>
      <c r="S114" s="132"/>
      <c r="T114" s="132"/>
    </row>
    <row r="115" spans="1:21">
      <c r="A115" s="131" t="s">
        <v>302</v>
      </c>
      <c r="B115" s="96" t="s">
        <v>186</v>
      </c>
      <c r="C115" s="132">
        <v>0</v>
      </c>
      <c r="D115" s="132">
        <v>0</v>
      </c>
      <c r="E115" s="132">
        <v>0</v>
      </c>
      <c r="F115" s="132">
        <v>0</v>
      </c>
      <c r="G115" s="132">
        <v>0</v>
      </c>
      <c r="H115" s="111">
        <v>1346</v>
      </c>
      <c r="I115" s="132">
        <v>0</v>
      </c>
      <c r="J115" s="132">
        <v>0</v>
      </c>
      <c r="K115" s="132">
        <v>0</v>
      </c>
      <c r="L115" s="132">
        <v>0</v>
      </c>
      <c r="M115" s="132">
        <v>0</v>
      </c>
      <c r="N115" s="132">
        <f t="shared" si="57"/>
        <v>0</v>
      </c>
      <c r="O115" s="132">
        <v>0</v>
      </c>
      <c r="P115" s="132">
        <v>0</v>
      </c>
      <c r="Q115" s="132"/>
      <c r="R115" s="132"/>
      <c r="S115" s="132"/>
      <c r="T115" s="132"/>
    </row>
    <row r="116" spans="1:21">
      <c r="A116" s="131" t="s">
        <v>297</v>
      </c>
      <c r="B116" s="96" t="s">
        <v>186</v>
      </c>
      <c r="C116" s="132">
        <v>152734.81875999999</v>
      </c>
      <c r="D116" s="132">
        <v>0</v>
      </c>
      <c r="E116" s="132">
        <v>0</v>
      </c>
      <c r="F116" s="132">
        <v>0</v>
      </c>
      <c r="G116" s="132">
        <v>0</v>
      </c>
      <c r="H116" s="132">
        <v>0</v>
      </c>
      <c r="I116" s="132">
        <v>0</v>
      </c>
      <c r="J116" s="132">
        <v>0</v>
      </c>
      <c r="K116" s="132">
        <v>0</v>
      </c>
      <c r="L116" s="132">
        <v>0</v>
      </c>
      <c r="M116" s="132">
        <v>0</v>
      </c>
      <c r="N116" s="132">
        <f t="shared" si="57"/>
        <v>0</v>
      </c>
      <c r="O116" s="132">
        <v>0</v>
      </c>
      <c r="P116" s="132">
        <v>0</v>
      </c>
      <c r="Q116" s="132"/>
      <c r="R116" s="132"/>
      <c r="S116" s="132"/>
      <c r="T116" s="132"/>
    </row>
    <row r="117" spans="1:21">
      <c r="A117" s="131" t="s">
        <v>234</v>
      </c>
      <c r="B117" s="96" t="s">
        <v>186</v>
      </c>
      <c r="C117" s="111">
        <v>35028.039271499998</v>
      </c>
      <c r="D117" s="111">
        <v>29712.460312700001</v>
      </c>
      <c r="E117" s="111">
        <v>36054.273269199992</v>
      </c>
      <c r="F117" s="111">
        <v>33603.485476099995</v>
      </c>
      <c r="G117" s="111">
        <v>64676</v>
      </c>
      <c r="H117" s="111">
        <v>131580</v>
      </c>
      <c r="I117" s="111">
        <v>121551</v>
      </c>
      <c r="J117" s="111">
        <v>118649</v>
      </c>
      <c r="K117" s="132">
        <v>120570</v>
      </c>
      <c r="L117" s="132">
        <v>124687</v>
      </c>
      <c r="M117" s="132">
        <v>122584</v>
      </c>
      <c r="N117" s="132">
        <f t="shared" si="57"/>
        <v>122926</v>
      </c>
      <c r="O117" s="111">
        <v>122926</v>
      </c>
      <c r="P117" s="132">
        <v>128039</v>
      </c>
      <c r="Q117" s="132"/>
      <c r="R117" s="132"/>
      <c r="S117" s="132"/>
      <c r="T117" s="111"/>
    </row>
    <row r="118" spans="1:21">
      <c r="A118" s="116" t="s">
        <v>314</v>
      </c>
      <c r="B118" s="96" t="s">
        <v>186</v>
      </c>
      <c r="C118" s="111">
        <f t="shared" ref="C118:J118" si="62">SUM(C119:C125)</f>
        <v>2428058.2193015767</v>
      </c>
      <c r="D118" s="111">
        <f t="shared" si="62"/>
        <v>2547100.9338282151</v>
      </c>
      <c r="E118" s="111">
        <f t="shared" si="62"/>
        <v>2391926.1291619297</v>
      </c>
      <c r="F118" s="111">
        <f t="shared" si="62"/>
        <v>2231432.1377195977</v>
      </c>
      <c r="G118" s="111">
        <f t="shared" si="62"/>
        <v>-239090</v>
      </c>
      <c r="H118" s="111">
        <f t="shared" si="62"/>
        <v>391253</v>
      </c>
      <c r="I118" s="111">
        <f t="shared" si="62"/>
        <v>737837</v>
      </c>
      <c r="J118" s="111">
        <f t="shared" si="62"/>
        <v>637404</v>
      </c>
      <c r="K118" s="111">
        <f>SUM(K119:K125)</f>
        <v>734479</v>
      </c>
      <c r="L118" s="111">
        <f>SUM(L119:L125)</f>
        <v>798564</v>
      </c>
      <c r="M118" s="111">
        <f>SUM(M119:M125)</f>
        <v>781692</v>
      </c>
      <c r="N118" s="111">
        <f t="shared" si="57"/>
        <v>786343</v>
      </c>
      <c r="O118" s="111">
        <f t="shared" ref="O118:R118" si="63">SUM(O119:O125)</f>
        <v>786343</v>
      </c>
      <c r="P118" s="111">
        <f t="shared" si="63"/>
        <v>745039</v>
      </c>
      <c r="Q118" s="111">
        <f t="shared" si="63"/>
        <v>0</v>
      </c>
      <c r="R118" s="111">
        <f t="shared" si="63"/>
        <v>0</v>
      </c>
      <c r="S118" s="111">
        <f>T118</f>
        <v>0</v>
      </c>
      <c r="T118" s="111">
        <f>SUM(T119:T125)</f>
        <v>0</v>
      </c>
    </row>
    <row r="119" spans="1:21">
      <c r="A119" s="131" t="s">
        <v>315</v>
      </c>
      <c r="B119" s="96" t="s">
        <v>186</v>
      </c>
      <c r="C119" s="128">
        <v>2109016.7690300001</v>
      </c>
      <c r="D119" s="128">
        <v>2123522.3842500001</v>
      </c>
      <c r="E119" s="128">
        <v>2138291.8400699999</v>
      </c>
      <c r="F119" s="128">
        <v>2138291.8400700004</v>
      </c>
      <c r="G119" s="128">
        <v>786644</v>
      </c>
      <c r="H119" s="128">
        <v>1965528</v>
      </c>
      <c r="I119" s="128">
        <v>2865528</v>
      </c>
      <c r="J119" s="128">
        <v>2865528</v>
      </c>
      <c r="K119" s="128">
        <v>2865528</v>
      </c>
      <c r="L119" s="128">
        <v>637312</v>
      </c>
      <c r="M119" s="128">
        <v>592274</v>
      </c>
      <c r="N119" s="128">
        <f t="shared" si="57"/>
        <v>592274</v>
      </c>
      <c r="O119" s="128">
        <v>592274</v>
      </c>
      <c r="P119" s="128">
        <v>592274</v>
      </c>
      <c r="Q119" s="128"/>
      <c r="R119" s="128"/>
      <c r="S119" s="128"/>
      <c r="T119" s="128"/>
    </row>
    <row r="120" spans="1:21">
      <c r="A120" s="131" t="s">
        <v>320</v>
      </c>
      <c r="B120" s="96" t="s">
        <v>186</v>
      </c>
      <c r="C120" s="128">
        <v>0</v>
      </c>
      <c r="D120" s="128">
        <v>0</v>
      </c>
      <c r="E120" s="128">
        <v>0</v>
      </c>
      <c r="F120" s="128">
        <v>0</v>
      </c>
      <c r="G120" s="128">
        <v>0</v>
      </c>
      <c r="H120" s="128">
        <v>0</v>
      </c>
      <c r="I120" s="128">
        <v>0</v>
      </c>
      <c r="J120" s="128">
        <v>0</v>
      </c>
      <c r="K120" s="128">
        <v>0</v>
      </c>
      <c r="L120" s="128">
        <v>0</v>
      </c>
      <c r="M120" s="128">
        <v>0</v>
      </c>
      <c r="N120" s="128">
        <f t="shared" si="57"/>
        <v>61206</v>
      </c>
      <c r="O120" s="128">
        <v>61206</v>
      </c>
      <c r="P120" s="128">
        <v>61206</v>
      </c>
      <c r="Q120" s="128"/>
      <c r="R120" s="128"/>
      <c r="S120" s="128"/>
      <c r="T120" s="128"/>
    </row>
    <row r="121" spans="1:21">
      <c r="A121" s="131" t="s">
        <v>322</v>
      </c>
      <c r="B121" s="96" t="s">
        <v>186</v>
      </c>
      <c r="C121" s="128">
        <v>0</v>
      </c>
      <c r="D121" s="128">
        <v>0</v>
      </c>
      <c r="E121" s="128">
        <v>0</v>
      </c>
      <c r="F121" s="128">
        <v>0</v>
      </c>
      <c r="G121" s="128">
        <v>0</v>
      </c>
      <c r="H121" s="128">
        <v>0</v>
      </c>
      <c r="I121" s="128">
        <v>0</v>
      </c>
      <c r="J121" s="128">
        <v>0</v>
      </c>
      <c r="K121" s="128">
        <v>0</v>
      </c>
      <c r="L121" s="128">
        <v>0</v>
      </c>
      <c r="M121" s="128">
        <v>0</v>
      </c>
      <c r="N121" s="128">
        <f t="shared" si="57"/>
        <v>2624</v>
      </c>
      <c r="O121" s="128">
        <v>2624</v>
      </c>
      <c r="P121" s="128">
        <v>2624</v>
      </c>
      <c r="Q121" s="128"/>
      <c r="R121" s="128"/>
      <c r="S121" s="128"/>
      <c r="T121" s="128"/>
    </row>
    <row r="122" spans="1:21" s="126" customFormat="1">
      <c r="A122" s="131" t="s">
        <v>317</v>
      </c>
      <c r="B122" s="96" t="s">
        <v>186</v>
      </c>
      <c r="C122" s="128">
        <v>318205.24088043493</v>
      </c>
      <c r="D122" s="128">
        <v>449264.00904986577</v>
      </c>
      <c r="E122" s="128">
        <v>277550.99401000002</v>
      </c>
      <c r="F122" s="128">
        <v>277550.99401000002</v>
      </c>
      <c r="G122" s="128">
        <v>117619</v>
      </c>
      <c r="H122" s="128">
        <v>117619</v>
      </c>
      <c r="I122" s="128">
        <v>117619</v>
      </c>
      <c r="J122" s="128">
        <v>117619</v>
      </c>
      <c r="K122" s="128">
        <v>117619</v>
      </c>
      <c r="L122" s="128">
        <v>0</v>
      </c>
      <c r="M122" s="128">
        <v>0</v>
      </c>
      <c r="N122" s="128">
        <f t="shared" si="57"/>
        <v>130147</v>
      </c>
      <c r="O122" s="128">
        <v>130147</v>
      </c>
      <c r="P122" s="128">
        <v>130147</v>
      </c>
      <c r="Q122" s="128"/>
      <c r="R122" s="128"/>
      <c r="S122" s="128"/>
      <c r="T122" s="128"/>
      <c r="U122" s="98"/>
    </row>
    <row r="123" spans="1:21">
      <c r="A123" s="131" t="s">
        <v>303</v>
      </c>
      <c r="B123" s="96" t="s">
        <v>186</v>
      </c>
      <c r="C123" s="128">
        <v>53659.450649999999</v>
      </c>
      <c r="D123" s="128">
        <v>57706.203659999999</v>
      </c>
      <c r="E123" s="128">
        <v>140192.72907524343</v>
      </c>
      <c r="F123" s="128">
        <v>398709.83777999994</v>
      </c>
      <c r="G123" s="128">
        <v>639358</v>
      </c>
      <c r="H123" s="128">
        <v>748450</v>
      </c>
      <c r="I123" s="128">
        <v>0</v>
      </c>
      <c r="J123" s="128">
        <v>0</v>
      </c>
      <c r="K123" s="128">
        <v>0</v>
      </c>
      <c r="L123" s="128">
        <v>0</v>
      </c>
      <c r="M123" s="128">
        <v>0</v>
      </c>
      <c r="N123" s="128">
        <f t="shared" si="57"/>
        <v>0</v>
      </c>
      <c r="O123" s="128">
        <v>0</v>
      </c>
      <c r="P123" s="155"/>
      <c r="Q123" s="155"/>
      <c r="R123" s="128"/>
      <c r="S123" s="155"/>
      <c r="T123" s="155"/>
      <c r="U123" s="156"/>
    </row>
    <row r="124" spans="1:21">
      <c r="A124" s="131" t="s">
        <v>316</v>
      </c>
      <c r="B124" s="96" t="s">
        <v>186</v>
      </c>
      <c r="C124" s="111">
        <v>-52823.2412588589</v>
      </c>
      <c r="D124" s="111">
        <v>-83391.662382170936</v>
      </c>
      <c r="E124" s="111">
        <v>-78387.651430280064</v>
      </c>
      <c r="F124" s="111">
        <v>-223542.17769000004</v>
      </c>
      <c r="G124" s="111">
        <v>92</v>
      </c>
      <c r="H124" s="111">
        <v>92</v>
      </c>
      <c r="I124" s="111">
        <v>92</v>
      </c>
      <c r="J124" s="111">
        <v>92</v>
      </c>
      <c r="K124" s="128">
        <v>92</v>
      </c>
      <c r="L124" s="128">
        <v>92</v>
      </c>
      <c r="M124" s="128">
        <v>92</v>
      </c>
      <c r="N124" s="128">
        <f t="shared" si="57"/>
        <v>92</v>
      </c>
      <c r="O124" s="111">
        <v>92</v>
      </c>
      <c r="P124" s="128">
        <v>92</v>
      </c>
      <c r="Q124" s="128"/>
      <c r="R124" s="128"/>
      <c r="S124" s="128"/>
      <c r="T124" s="111"/>
    </row>
    <row r="125" spans="1:21">
      <c r="A125" s="131" t="s">
        <v>304</v>
      </c>
      <c r="B125" s="96" t="s">
        <v>186</v>
      </c>
      <c r="C125" s="111">
        <v>6.9849193096160889E-10</v>
      </c>
      <c r="D125" s="111">
        <v>-7.4947986286133528E-4</v>
      </c>
      <c r="E125" s="111">
        <v>-85721.782563033645</v>
      </c>
      <c r="F125" s="111">
        <v>-359578.35645040218</v>
      </c>
      <c r="G125" s="111">
        <v>-1782803</v>
      </c>
      <c r="H125" s="111">
        <v>-2440436</v>
      </c>
      <c r="I125" s="111">
        <v>-2245402</v>
      </c>
      <c r="J125" s="111">
        <v>-2345835</v>
      </c>
      <c r="K125" s="111">
        <v>-2248760</v>
      </c>
      <c r="L125" s="111">
        <v>161160</v>
      </c>
      <c r="M125" s="128">
        <v>189326</v>
      </c>
      <c r="N125" s="128">
        <f t="shared" si="57"/>
        <v>0</v>
      </c>
      <c r="O125" s="111">
        <v>0</v>
      </c>
      <c r="P125" s="111">
        <v>-41304</v>
      </c>
      <c r="Q125" s="111"/>
      <c r="R125" s="128"/>
      <c r="S125" s="128"/>
      <c r="T125" s="111"/>
    </row>
    <row r="126" spans="1:21">
      <c r="A126" s="138" t="s">
        <v>305</v>
      </c>
      <c r="B126" s="104" t="s">
        <v>186</v>
      </c>
      <c r="C126" s="120">
        <f t="shared" ref="C126:J126" si="64">C118+C127</f>
        <v>2428058.2193015767</v>
      </c>
      <c r="D126" s="120">
        <f t="shared" si="64"/>
        <v>2547100.9338282151</v>
      </c>
      <c r="E126" s="120">
        <f t="shared" si="64"/>
        <v>2391926.1291619297</v>
      </c>
      <c r="F126" s="120">
        <f t="shared" si="64"/>
        <v>2250863.7617942938</v>
      </c>
      <c r="G126" s="120">
        <f t="shared" si="64"/>
        <v>-152534</v>
      </c>
      <c r="H126" s="120">
        <f t="shared" si="64"/>
        <v>450569</v>
      </c>
      <c r="I126" s="120">
        <f t="shared" si="64"/>
        <v>795659</v>
      </c>
      <c r="J126" s="120">
        <f t="shared" si="64"/>
        <v>697136</v>
      </c>
      <c r="K126" s="120">
        <f>K118+K127</f>
        <v>815436</v>
      </c>
      <c r="L126" s="120">
        <f>L118+L127</f>
        <v>876658</v>
      </c>
      <c r="M126" s="120">
        <f>M118+M127</f>
        <v>850107</v>
      </c>
      <c r="N126" s="120">
        <f t="shared" si="57"/>
        <v>881808</v>
      </c>
      <c r="O126" s="120">
        <f>O118+O127</f>
        <v>881808</v>
      </c>
      <c r="P126" s="120">
        <f t="shared" ref="P126:R126" si="65">P118+P127</f>
        <v>837626</v>
      </c>
      <c r="Q126" s="120">
        <f t="shared" si="65"/>
        <v>0</v>
      </c>
      <c r="R126" s="120">
        <f t="shared" si="65"/>
        <v>0</v>
      </c>
      <c r="S126" s="120">
        <f>T126</f>
        <v>0</v>
      </c>
      <c r="T126" s="120">
        <f>T118+T127</f>
        <v>0</v>
      </c>
      <c r="U126" s="126"/>
    </row>
    <row r="127" spans="1:21">
      <c r="A127" s="131" t="s">
        <v>306</v>
      </c>
      <c r="B127" s="96" t="s">
        <v>186</v>
      </c>
      <c r="C127" s="111">
        <v>0</v>
      </c>
      <c r="D127" s="111">
        <v>0</v>
      </c>
      <c r="E127" s="111">
        <v>0</v>
      </c>
      <c r="F127" s="111">
        <v>19431.624074696127</v>
      </c>
      <c r="G127" s="111">
        <v>86556</v>
      </c>
      <c r="H127" s="111">
        <v>59316</v>
      </c>
      <c r="I127" s="111">
        <v>57822</v>
      </c>
      <c r="J127" s="111">
        <v>59732</v>
      </c>
      <c r="K127" s="111">
        <v>80957</v>
      </c>
      <c r="L127" s="111">
        <v>78094</v>
      </c>
      <c r="M127" s="111">
        <v>68415</v>
      </c>
      <c r="N127" s="111">
        <f t="shared" si="57"/>
        <v>95465</v>
      </c>
      <c r="O127" s="111">
        <v>95465</v>
      </c>
      <c r="P127" s="111">
        <v>92587</v>
      </c>
      <c r="Q127" s="111"/>
      <c r="R127" s="111"/>
      <c r="S127" s="111"/>
      <c r="T127" s="111"/>
    </row>
    <row r="128" spans="1:21">
      <c r="A128" s="131"/>
      <c r="B128" s="96"/>
      <c r="C128" s="96"/>
      <c r="D128" s="128"/>
      <c r="E128" s="96"/>
      <c r="F128" s="96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</row>
    <row r="129" spans="1:20">
      <c r="A129" s="100" t="s">
        <v>275</v>
      </c>
      <c r="B129" s="101"/>
      <c r="C129" s="101"/>
      <c r="D129" s="101"/>
      <c r="E129" s="101"/>
      <c r="F129" s="101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</row>
    <row r="130" spans="1:20">
      <c r="A130" s="105" t="s">
        <v>270</v>
      </c>
      <c r="B130" s="105" t="s">
        <v>186</v>
      </c>
      <c r="C130" s="111">
        <f t="shared" ref="C130:J130" si="66">C66+C67+C83</f>
        <v>1055882.321570335</v>
      </c>
      <c r="D130" s="111">
        <f t="shared" si="66"/>
        <v>879964.33744831523</v>
      </c>
      <c r="E130" s="111">
        <f t="shared" si="66"/>
        <v>1008333.678938725</v>
      </c>
      <c r="F130" s="111">
        <f t="shared" si="66"/>
        <v>755828.40704379999</v>
      </c>
      <c r="G130" s="111">
        <f t="shared" si="66"/>
        <v>355304</v>
      </c>
      <c r="H130" s="111">
        <f t="shared" si="66"/>
        <v>196014</v>
      </c>
      <c r="I130" s="111">
        <f t="shared" si="66"/>
        <v>397493</v>
      </c>
      <c r="J130" s="111">
        <f t="shared" si="66"/>
        <v>449801</v>
      </c>
      <c r="K130" s="111">
        <f>K66+K67+K83</f>
        <v>439100</v>
      </c>
      <c r="L130" s="111">
        <f>L66+L67+L83</f>
        <v>364711</v>
      </c>
      <c r="M130" s="111">
        <f>M66+M67+M83</f>
        <v>302303</v>
      </c>
      <c r="N130" s="111">
        <f>N66+N67+N83</f>
        <v>467085</v>
      </c>
      <c r="O130" s="111">
        <f>O66+O67+O83</f>
        <v>467085</v>
      </c>
      <c r="P130" s="111">
        <f t="shared" ref="P130:R130" si="67">P66+P67+P83</f>
        <v>431615</v>
      </c>
      <c r="Q130" s="111">
        <f t="shared" si="67"/>
        <v>0</v>
      </c>
      <c r="R130" s="111">
        <f t="shared" si="67"/>
        <v>0</v>
      </c>
      <c r="S130" s="111">
        <f>T130</f>
        <v>0</v>
      </c>
      <c r="T130" s="111">
        <f>T66+T67+T83</f>
        <v>0</v>
      </c>
    </row>
    <row r="131" spans="1:20">
      <c r="A131" s="96" t="s">
        <v>271</v>
      </c>
      <c r="B131" s="105" t="s">
        <v>186</v>
      </c>
      <c r="C131" s="128">
        <f t="shared" ref="C131:J131" si="68">SUM(C97:C98,C108:C109)</f>
        <v>3495321.6510287998</v>
      </c>
      <c r="D131" s="128">
        <f t="shared" si="68"/>
        <v>3165855.1819609003</v>
      </c>
      <c r="E131" s="128">
        <f t="shared" si="68"/>
        <v>3009904.3928289004</v>
      </c>
      <c r="F131" s="128">
        <f t="shared" si="68"/>
        <v>3084632.9177955999</v>
      </c>
      <c r="G131" s="128">
        <f t="shared" si="68"/>
        <v>2509393</v>
      </c>
      <c r="H131" s="128">
        <f t="shared" si="68"/>
        <v>2157966</v>
      </c>
      <c r="I131" s="128">
        <f t="shared" si="68"/>
        <v>1926402</v>
      </c>
      <c r="J131" s="128">
        <f t="shared" si="68"/>
        <v>1754746</v>
      </c>
      <c r="K131" s="128">
        <f>SUM(K97:K98,K108:K109)</f>
        <v>1752183</v>
      </c>
      <c r="L131" s="128">
        <f>SUM(L97:L98,L108:L109)</f>
        <v>1750276</v>
      </c>
      <c r="M131" s="128">
        <f>SUM(M97:M98,M108:M109)</f>
        <v>2739365</v>
      </c>
      <c r="N131" s="128">
        <f>SUM(N97:N98,N108:N109)</f>
        <v>2733712</v>
      </c>
      <c r="O131" s="128">
        <f>SUM(O97:O98,O108:O109)</f>
        <v>2733712</v>
      </c>
      <c r="P131" s="128">
        <f t="shared" ref="P131:R131" si="69">SUM(P97:P98,P108:P109)</f>
        <v>2732499</v>
      </c>
      <c r="Q131" s="128">
        <f t="shared" si="69"/>
        <v>0</v>
      </c>
      <c r="R131" s="128">
        <f t="shared" si="69"/>
        <v>0</v>
      </c>
      <c r="S131" s="128">
        <f>T131</f>
        <v>0</v>
      </c>
      <c r="T131" s="128">
        <f>SUM(T97:T98,T108:T109)</f>
        <v>0</v>
      </c>
    </row>
    <row r="132" spans="1:20">
      <c r="A132" s="104" t="s">
        <v>272</v>
      </c>
      <c r="B132" s="106" t="s">
        <v>186</v>
      </c>
      <c r="C132" s="136">
        <f>C131-C130</f>
        <v>2439439.3294584649</v>
      </c>
      <c r="D132" s="136">
        <f t="shared" ref="D132:J132" si="70">D131-D130</f>
        <v>2285890.8445125851</v>
      </c>
      <c r="E132" s="136">
        <f t="shared" si="70"/>
        <v>2001570.7138901753</v>
      </c>
      <c r="F132" s="136">
        <f t="shared" si="70"/>
        <v>2328804.5107517997</v>
      </c>
      <c r="G132" s="136">
        <f t="shared" si="70"/>
        <v>2154089</v>
      </c>
      <c r="H132" s="136">
        <f t="shared" si="70"/>
        <v>1961952</v>
      </c>
      <c r="I132" s="136">
        <f t="shared" si="70"/>
        <v>1528909</v>
      </c>
      <c r="J132" s="136">
        <f t="shared" si="70"/>
        <v>1304945</v>
      </c>
      <c r="K132" s="136">
        <f t="shared" ref="K132" si="71">K131-K130</f>
        <v>1313083</v>
      </c>
      <c r="L132" s="136">
        <f t="shared" ref="L132" si="72">L131-L130</f>
        <v>1385565</v>
      </c>
      <c r="M132" s="136">
        <f t="shared" ref="M132:N132" si="73">M131-M130</f>
        <v>2437062</v>
      </c>
      <c r="N132" s="136">
        <f t="shared" si="73"/>
        <v>2266627</v>
      </c>
      <c r="O132" s="136">
        <f>O131-O130</f>
        <v>2266627</v>
      </c>
      <c r="P132" s="136">
        <f t="shared" ref="P132:R132" si="74">P131-P130</f>
        <v>2300884</v>
      </c>
      <c r="Q132" s="136">
        <f t="shared" si="74"/>
        <v>0</v>
      </c>
      <c r="R132" s="136">
        <f t="shared" si="74"/>
        <v>0</v>
      </c>
      <c r="S132" s="136">
        <f>T132</f>
        <v>0</v>
      </c>
      <c r="T132" s="136">
        <f t="shared" ref="T132" si="75">T131-T130</f>
        <v>0</v>
      </c>
    </row>
    <row r="133" spans="1:20">
      <c r="A133" s="96" t="s">
        <v>274</v>
      </c>
      <c r="B133" s="105" t="s">
        <v>186</v>
      </c>
      <c r="C133" s="128">
        <f>'EBITDA &amp; IS'!C10</f>
        <v>1065968.3769124825</v>
      </c>
      <c r="D133" s="128">
        <f>'EBITDA &amp; IS'!D10</f>
        <v>959794.21508588281</v>
      </c>
      <c r="E133" s="128">
        <f>'EBITDA &amp; IS'!E10</f>
        <v>569339.44183206221</v>
      </c>
      <c r="F133" s="128">
        <f>'EBITDA &amp; IS'!F10</f>
        <v>255024.74431339861</v>
      </c>
      <c r="G133" s="128">
        <f>'EBITDA &amp; IS'!G10</f>
        <v>55745.419739469886</v>
      </c>
      <c r="H133" s="128">
        <f>'EBITDA &amp; IS'!L10</f>
        <v>51293.906629481833</v>
      </c>
      <c r="I133" s="128">
        <f>'EBITDA &amp; IS'!Q10</f>
        <v>262895.52615140309</v>
      </c>
      <c r="J133" s="128">
        <f>'EBITDA &amp; IS'!V10</f>
        <v>686280.91717886401</v>
      </c>
      <c r="K133" s="128">
        <f>SUM('EBITDA &amp; IS'!W10,'EBITDA &amp; IS'!S10:U10)</f>
        <v>886968.3106736294</v>
      </c>
      <c r="L133" s="128">
        <f>SUM('EBITDA &amp; IS'!T10:U10,'EBITDA &amp; IS'!W10:X10)</f>
        <v>1017312.7345564734</v>
      </c>
      <c r="M133" s="128">
        <f>SUM('EBITDA &amp; IS'!W10:Y10,'EBITDA &amp; IS'!U10)</f>
        <v>995519.90356106579</v>
      </c>
      <c r="N133" s="128">
        <f>O133</f>
        <v>928312.99</v>
      </c>
      <c r="O133" s="128">
        <f>'[1]EBITDA &amp; DRE'!AA10</f>
        <v>928312.99</v>
      </c>
      <c r="P133" s="128">
        <f>SUM('[2]EBITDA &amp; DRE'!AB10,'[2]EBITDA &amp; DRE'!X10:Z10)</f>
        <v>821861.00892014545</v>
      </c>
      <c r="Q133" s="128"/>
      <c r="R133" s="128"/>
      <c r="S133" s="128"/>
      <c r="T133" s="128"/>
    </row>
    <row r="134" spans="1:20">
      <c r="A134" s="104" t="s">
        <v>273</v>
      </c>
      <c r="B134" s="106" t="s">
        <v>75</v>
      </c>
      <c r="C134" s="137">
        <f>IFERROR(C132/C133,0)</f>
        <v>2.2884725122185743</v>
      </c>
      <c r="D134" s="137">
        <f t="shared" ref="D134:J134" si="76">IFERROR(D132/D133,0)</f>
        <v>2.381646824478977</v>
      </c>
      <c r="E134" s="137">
        <f t="shared" si="76"/>
        <v>3.5156017075672366</v>
      </c>
      <c r="F134" s="137">
        <f t="shared" si="76"/>
        <v>9.1316806022945904</v>
      </c>
      <c r="G134" s="137">
        <f t="shared" si="76"/>
        <v>38.641542391595316</v>
      </c>
      <c r="H134" s="137">
        <f t="shared" si="76"/>
        <v>38.249221572691496</v>
      </c>
      <c r="I134" s="137">
        <f t="shared" si="76"/>
        <v>5.815652409084711</v>
      </c>
      <c r="J134" s="137">
        <f t="shared" si="76"/>
        <v>1.901473532681508</v>
      </c>
      <c r="K134" s="137">
        <f t="shared" ref="K134" si="77">IFERROR(K132/K133,0)</f>
        <v>1.4804170388035032</v>
      </c>
      <c r="L134" s="137">
        <f t="shared" ref="L134" si="78">IFERROR(L132/L133,0)</f>
        <v>1.3619853098605677</v>
      </c>
      <c r="M134" s="137">
        <f t="shared" ref="M134:N134" si="79">IFERROR(M132/M133,0)</f>
        <v>2.4480294078324363</v>
      </c>
      <c r="N134" s="137">
        <f t="shared" si="79"/>
        <v>2.4416624828227387</v>
      </c>
      <c r="O134" s="137">
        <f>IFERROR(O132/O133,0)</f>
        <v>2.4416624828227387</v>
      </c>
      <c r="P134" s="137">
        <f t="shared" ref="P134:R134" si="80">IFERROR(P132/P133,0)</f>
        <v>2.7996023354644399</v>
      </c>
      <c r="Q134" s="137">
        <f t="shared" si="80"/>
        <v>0</v>
      </c>
      <c r="R134" s="137">
        <f t="shared" si="80"/>
        <v>0</v>
      </c>
      <c r="S134" s="137">
        <f>T134</f>
        <v>0</v>
      </c>
      <c r="T134" s="137">
        <f t="shared" ref="T134" si="81">IFERROR(T132/T133,0)</f>
        <v>0</v>
      </c>
    </row>
    <row r="136" spans="1:20">
      <c r="A136" s="104" t="s">
        <v>328</v>
      </c>
      <c r="B136" s="106" t="s">
        <v>186</v>
      </c>
      <c r="C136" s="136"/>
      <c r="D136" s="136"/>
      <c r="E136" s="136"/>
      <c r="F136" s="136"/>
      <c r="G136" s="136"/>
      <c r="H136" s="136"/>
      <c r="I136" s="136"/>
      <c r="J136" s="136">
        <v>0</v>
      </c>
      <c r="K136" s="136">
        <v>0</v>
      </c>
      <c r="L136" s="136">
        <v>0</v>
      </c>
      <c r="M136" s="158">
        <f>M132-1000000</f>
        <v>1437062</v>
      </c>
      <c r="N136" s="158">
        <v>2115873</v>
      </c>
      <c r="O136" s="136">
        <f>N136</f>
        <v>2115873</v>
      </c>
      <c r="P136" s="158">
        <v>2107839</v>
      </c>
      <c r="Q136" s="136">
        <f t="shared" ref="Q136:R136" si="82">Q135-Q134</f>
        <v>0</v>
      </c>
      <c r="R136" s="136">
        <f t="shared" si="82"/>
        <v>0</v>
      </c>
      <c r="S136" s="136">
        <f>T136</f>
        <v>0</v>
      </c>
      <c r="T136" s="136">
        <f t="shared" ref="T136" si="83">T135-T134</f>
        <v>0</v>
      </c>
    </row>
    <row r="137" spans="1:20">
      <c r="A137" s="104" t="s">
        <v>329</v>
      </c>
      <c r="B137" s="106" t="s">
        <v>75</v>
      </c>
      <c r="C137" s="137"/>
      <c r="D137" s="137"/>
      <c r="E137" s="137"/>
      <c r="F137" s="137"/>
      <c r="G137" s="137"/>
      <c r="H137" s="137"/>
      <c r="I137" s="137"/>
      <c r="J137" s="137">
        <v>0</v>
      </c>
      <c r="K137" s="137">
        <v>0</v>
      </c>
      <c r="L137" s="137">
        <v>0</v>
      </c>
      <c r="M137" s="137">
        <f>IFERROR(M136/M133,0)</f>
        <v>1.4435291498035325</v>
      </c>
      <c r="N137" s="137">
        <f>IFERROR(N136/N133,0)</f>
        <v>2.2792668235742344</v>
      </c>
      <c r="O137" s="137">
        <f>IFERROR(O136/O133,0)</f>
        <v>2.2792668235742344</v>
      </c>
      <c r="P137" s="137">
        <f>IFERROR(P136/P133,0)</f>
        <v>2.5647146866956478</v>
      </c>
      <c r="Q137" s="137">
        <f t="shared" ref="Q137:T137" si="84">IFERROR(Q136/Q133,0)</f>
        <v>0</v>
      </c>
      <c r="R137" s="137">
        <f t="shared" si="84"/>
        <v>0</v>
      </c>
      <c r="S137" s="137">
        <f t="shared" si="84"/>
        <v>0</v>
      </c>
      <c r="T137" s="137">
        <f t="shared" si="84"/>
        <v>0</v>
      </c>
    </row>
    <row r="144" spans="1:20">
      <c r="N144" s="128"/>
      <c r="S144" s="128"/>
    </row>
    <row r="145" spans="14:19">
      <c r="N145" s="111"/>
      <c r="S145" s="111"/>
    </row>
    <row r="146" spans="14:19">
      <c r="N146" s="111"/>
      <c r="S146" s="111"/>
    </row>
    <row r="147" spans="14:19">
      <c r="N147" s="111"/>
      <c r="S147" s="111"/>
    </row>
    <row r="148" spans="14:19">
      <c r="N148" s="111"/>
      <c r="S148" s="111"/>
    </row>
    <row r="149" spans="14:19">
      <c r="N149" s="111"/>
      <c r="S149" s="111"/>
    </row>
    <row r="150" spans="14:19">
      <c r="N150" s="111"/>
      <c r="S150" s="111"/>
    </row>
    <row r="151" spans="14:19">
      <c r="N151" s="111"/>
      <c r="S151" s="111"/>
    </row>
    <row r="152" spans="14:19">
      <c r="N152" s="111"/>
      <c r="S152" s="111"/>
    </row>
    <row r="153" spans="14:19">
      <c r="N153" s="111"/>
      <c r="S153" s="111"/>
    </row>
    <row r="154" spans="14:19">
      <c r="N154" s="111"/>
      <c r="S154" s="111"/>
    </row>
    <row r="155" spans="14:19">
      <c r="N155" s="111"/>
      <c r="S155" s="111"/>
    </row>
    <row r="156" spans="14:19">
      <c r="N156" s="111"/>
      <c r="S156" s="111"/>
    </row>
    <row r="157" spans="14:19">
      <c r="N157" s="120"/>
      <c r="S157" s="120"/>
    </row>
    <row r="158" spans="14:19">
      <c r="N158" s="111"/>
      <c r="S158" s="111"/>
    </row>
    <row r="159" spans="14:19">
      <c r="N159" s="123"/>
      <c r="S159" s="123"/>
    </row>
    <row r="160" spans="14:19">
      <c r="N160" s="111"/>
      <c r="S160" s="111"/>
    </row>
    <row r="161" spans="14:19">
      <c r="N161" s="111"/>
      <c r="S161" s="111"/>
    </row>
    <row r="162" spans="14:19">
      <c r="N162" s="111"/>
      <c r="S162" s="111"/>
    </row>
    <row r="163" spans="14:19">
      <c r="N163" s="128"/>
      <c r="S163" s="128"/>
    </row>
    <row r="164" spans="14:19">
      <c r="N164" s="128"/>
      <c r="S164" s="128"/>
    </row>
    <row r="165" spans="14:19">
      <c r="N165" s="111"/>
      <c r="S165" s="111"/>
    </row>
    <row r="166" spans="14:19">
      <c r="N166" s="111"/>
      <c r="S166" s="111"/>
    </row>
    <row r="167" spans="14:19">
      <c r="N167" s="111"/>
      <c r="S167" s="111"/>
    </row>
    <row r="168" spans="14:19">
      <c r="N168" s="111"/>
      <c r="S168" s="111"/>
    </row>
    <row r="169" spans="14:19">
      <c r="N169" s="111"/>
      <c r="S169" s="111"/>
    </row>
    <row r="170" spans="14:19">
      <c r="N170" s="128"/>
      <c r="S170" s="128"/>
    </row>
    <row r="171" spans="14:19">
      <c r="N171" s="128"/>
      <c r="S171" s="128"/>
    </row>
    <row r="172" spans="14:19">
      <c r="N172" s="111"/>
      <c r="S172" s="111"/>
    </row>
    <row r="173" spans="14:19">
      <c r="N173" s="111"/>
      <c r="S173" s="111"/>
    </row>
    <row r="174" spans="14:19">
      <c r="N174" s="111"/>
      <c r="S174" s="111"/>
    </row>
    <row r="175" spans="14:19">
      <c r="N175" s="111"/>
      <c r="S175" s="111"/>
    </row>
    <row r="176" spans="14:19">
      <c r="N176" s="132"/>
      <c r="S176" s="132"/>
    </row>
    <row r="177" spans="14:19">
      <c r="N177" s="132"/>
      <c r="S177" s="132"/>
    </row>
    <row r="178" spans="14:19">
      <c r="N178" s="132"/>
      <c r="S178" s="132"/>
    </row>
    <row r="179" spans="14:19">
      <c r="N179" s="132"/>
      <c r="S179" s="132"/>
    </row>
    <row r="180" spans="14:19">
      <c r="N180" s="132"/>
      <c r="S180" s="132"/>
    </row>
    <row r="181" spans="14:19">
      <c r="N181" s="111"/>
      <c r="S181" s="111"/>
    </row>
    <row r="182" spans="14:19">
      <c r="N182" s="128"/>
      <c r="S182" s="128"/>
    </row>
    <row r="183" spans="14:19">
      <c r="N183" s="128"/>
      <c r="S183" s="128"/>
    </row>
    <row r="184" spans="14:19">
      <c r="N184" s="128"/>
      <c r="S184" s="128"/>
    </row>
    <row r="185" spans="14:19">
      <c r="N185" s="128"/>
      <c r="S185" s="128"/>
    </row>
    <row r="186" spans="14:19">
      <c r="N186" s="128"/>
      <c r="S186" s="128"/>
    </row>
    <row r="187" spans="14:19">
      <c r="N187" s="128"/>
      <c r="S187" s="128"/>
    </row>
    <row r="188" spans="14:19">
      <c r="N188" s="128"/>
      <c r="S188" s="128"/>
    </row>
    <row r="189" spans="14:19">
      <c r="N189" s="120"/>
      <c r="S189" s="120"/>
    </row>
    <row r="190" spans="14:19">
      <c r="N190" s="111"/>
      <c r="S190" s="111"/>
    </row>
  </sheetData>
  <pageMargins left="0.511811024" right="0.511811024" top="0.78740157499999996" bottom="0.78740157499999996" header="0.31496062000000002" footer="0.31496062000000002"/>
  <pageSetup paperSize="9" scale="35" fitToHeight="0" orientation="portrait" r:id="rId1"/>
  <ignoredErrors>
    <ignoredError sqref="K131:M133 C131:J131 C31:J32 C34:J34 C26:J29 C20:J20 K20:M20 I35 K31:K32 K34 K26:K29 O131:P131" formulaRange="1"/>
    <ignoredError sqref="K58 L35:N35 N58 S126:S136 N126" formula="1"/>
    <ignoredError sqref="K35 C35:H35 J35 N20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EF9AD7A97A114E82B6C4FE2B96F09E" ma:contentTypeVersion="12" ma:contentTypeDescription="Crie um novo documento." ma:contentTypeScope="" ma:versionID="f26c70a435de4817139db256c860858f">
  <xsd:schema xmlns:xsd="http://www.w3.org/2001/XMLSchema" xmlns:xs="http://www.w3.org/2001/XMLSchema" xmlns:p="http://schemas.microsoft.com/office/2006/metadata/properties" xmlns:ns2="f63b5019-fdb0-4516-8d48-8c6a7bdb0f24" xmlns:ns3="e82749e7-7b0e-4498-9ead-94b1bb5c5f13" targetNamespace="http://schemas.microsoft.com/office/2006/metadata/properties" ma:root="true" ma:fieldsID="a655491b392b54f95b58625fa9d92b8f" ns2:_="" ns3:_="">
    <xsd:import namespace="f63b5019-fdb0-4516-8d48-8c6a7bdb0f24"/>
    <xsd:import namespace="e82749e7-7b0e-4498-9ead-94b1bb5c5f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3b5019-fdb0-4516-8d48-8c6a7bdb0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2749e7-7b0e-4498-9ead-94b1bb5c5f1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200EE-6E55-416A-9B37-0C1845D9B0CA}">
  <ds:schemaRefs>
    <ds:schemaRef ds:uri="http://schemas.openxmlformats.org/package/2006/metadata/core-properties"/>
    <ds:schemaRef ds:uri="f63b5019-fdb0-4516-8d48-8c6a7bdb0f24"/>
    <ds:schemaRef ds:uri="http://purl.org/dc/elements/1.1/"/>
    <ds:schemaRef ds:uri="http://schemas.microsoft.com/office/2006/metadata/properties"/>
    <ds:schemaRef ds:uri="http://purl.org/dc/terms/"/>
    <ds:schemaRef ds:uri="e82749e7-7b0e-4498-9ead-94b1bb5c5f13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C2DAEF-D4C1-4BC9-A4BE-2665636099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FB1FC0-0DAA-4FC0-BE16-81E7BC5175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3b5019-fdb0-4516-8d48-8c6a7bdb0f24"/>
    <ds:schemaRef ds:uri="e82749e7-7b0e-4498-9ead-94b1bb5c5f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Português|Dados</vt:lpstr>
      <vt:lpstr>EBITDA &amp; IS</vt:lpstr>
      <vt:lpstr>Cash Flow_BS_Leverage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2015-11-03T23:18:52Z</dcterms:created>
  <dcterms:modified xsi:type="dcterms:W3CDTF">2022-05-18T19:55:01Z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0x010100C8EF9AD7A97A114E82B6C4FE2B96F09E</vt:lpwstr>
  </property>
  <property fmtid="{D5CDD505-2E9C-101B-9397-08002B2CF9AE}" pid="3" name="AuthorIds_UIVersion_1536">
    <vt:lpwstr>261</vt:lpwstr>
  </property>
</Properties>
</file>